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7955" windowHeight="11535"/>
  </bookViews>
  <sheets>
    <sheet name="Sheet3" sheetId="1" r:id="rId1"/>
  </sheets>
  <calcPr calcId="145621"/>
</workbook>
</file>

<file path=xl/calcChain.xml><?xml version="1.0" encoding="utf-8"?>
<calcChain xmlns="http://schemas.openxmlformats.org/spreadsheetml/2006/main">
  <c r="P5" i="1" l="1"/>
  <c r="T6" i="1" l="1"/>
  <c r="T7" i="1"/>
  <c r="T8" i="1"/>
  <c r="T9" i="1"/>
  <c r="T10" i="1"/>
  <c r="T5" i="1"/>
  <c r="S5" i="1"/>
  <c r="S6" i="1"/>
  <c r="S7" i="1"/>
  <c r="S8" i="1"/>
  <c r="S9" i="1"/>
  <c r="S10" i="1"/>
  <c r="P6" i="1"/>
  <c r="P7" i="1"/>
  <c r="P8" i="1"/>
  <c r="P9" i="1"/>
  <c r="P10" i="1"/>
  <c r="W6" i="1" l="1"/>
  <c r="W7" i="1"/>
  <c r="W8" i="1"/>
  <c r="W9" i="1"/>
  <c r="W10" i="1"/>
  <c r="W5" i="1"/>
  <c r="L6" i="1"/>
  <c r="L7" i="1"/>
  <c r="L8" i="1"/>
  <c r="L9" i="1"/>
  <c r="L10" i="1"/>
  <c r="L5" i="1"/>
  <c r="U6" i="1" l="1"/>
  <c r="U7" i="1"/>
  <c r="U8" i="1"/>
  <c r="U9" i="1"/>
  <c r="U5" i="1"/>
  <c r="M10" i="1" l="1"/>
  <c r="B10" i="1"/>
  <c r="H9" i="1" l="1"/>
  <c r="G9" i="1"/>
  <c r="D9" i="1"/>
  <c r="C9" i="1"/>
  <c r="I8" i="1"/>
  <c r="G8" i="1"/>
  <c r="D8" i="1"/>
  <c r="C8" i="1"/>
  <c r="H6" i="1"/>
  <c r="G6" i="1"/>
  <c r="D6" i="1"/>
  <c r="C6" i="1"/>
  <c r="H5" i="1"/>
  <c r="G5" i="1"/>
  <c r="D5" i="1"/>
  <c r="C5" i="1"/>
  <c r="I7" i="1"/>
  <c r="G7" i="1"/>
  <c r="C7" i="1"/>
  <c r="H7" i="1" s="1"/>
  <c r="E7" i="1" l="1"/>
  <c r="R7" i="1" s="1"/>
  <c r="Q7" i="1"/>
  <c r="N7" i="1"/>
  <c r="V7" i="1" s="1"/>
  <c r="E5" i="1"/>
  <c r="Q5" i="1" s="1"/>
  <c r="C10" i="1"/>
  <c r="E6" i="1"/>
  <c r="Q6" i="1" s="1"/>
  <c r="H8" i="1"/>
  <c r="J8" i="1" s="1"/>
  <c r="E8" i="1"/>
  <c r="Q8" i="1" s="1"/>
  <c r="E9" i="1"/>
  <c r="J7" i="1"/>
  <c r="I5" i="1"/>
  <c r="J5" i="1" s="1"/>
  <c r="R5" i="1"/>
  <c r="D10" i="1"/>
  <c r="I6" i="1"/>
  <c r="N6" i="1" s="1"/>
  <c r="V6" i="1" s="1"/>
  <c r="R6" i="1"/>
  <c r="I9" i="1"/>
  <c r="J9" i="1" s="1"/>
  <c r="R9" i="1"/>
  <c r="G10" i="1"/>
  <c r="J6" i="1"/>
  <c r="N9" i="1" l="1"/>
  <c r="V9" i="1" s="1"/>
  <c r="H10" i="1"/>
  <c r="Q9" i="1"/>
  <c r="N5" i="1"/>
  <c r="V5" i="1" s="1"/>
  <c r="J10" i="1"/>
  <c r="R8" i="1"/>
  <c r="N8" i="1"/>
  <c r="V8" i="1" s="1"/>
  <c r="I10" i="1"/>
  <c r="U10" i="1" s="1"/>
  <c r="E10" i="1"/>
  <c r="Q10" i="1" s="1"/>
  <c r="N10" i="1" l="1"/>
  <c r="V10" i="1" s="1"/>
  <c r="R10" i="1"/>
</calcChain>
</file>

<file path=xl/sharedStrings.xml><?xml version="1.0" encoding="utf-8"?>
<sst xmlns="http://schemas.openxmlformats.org/spreadsheetml/2006/main" count="49" uniqueCount="45">
  <si>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  <scheme val="minor"/>
      </rPr>
      <t xml:space="preserve"> Non-SWP = banking, non-SWP transfers and exchanges, Dry Year Purchase Program, local water, general conveyance water, operations exchange</t>
    </r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</si>
  <si>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 xml:space="preserve"> Table A delivered and not exchanged or transferred or stored</t>
    </r>
  </si>
  <si>
    <t>Other SWP Contractors</t>
  </si>
  <si>
    <t>Metropolitan</t>
  </si>
  <si>
    <t>Total SWC</t>
  </si>
  <si>
    <r>
      <t xml:space="preserve">Total Deliveries 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</si>
  <si>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Other SWP = SWP Exchanges, Transfers, Carryover Storage, Flexible Storage, Article 21, Pool A/B, settlement</t>
    </r>
  </si>
  <si>
    <t>Non-SWC Agencies</t>
  </si>
  <si>
    <r>
      <rPr>
        <vertAlign val="superscript"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  <scheme val="minor"/>
      </rPr>
      <t xml:space="preserve"> Does not include "Local non-SWP Water Supply Contractors", i.e. Feather River parties with senior water rights</t>
    </r>
  </si>
  <si>
    <r>
      <t xml:space="preserve">Table A </t>
    </r>
    <r>
      <rPr>
        <b/>
        <vertAlign val="superscript"/>
        <sz val="11"/>
        <color theme="1"/>
        <rFont val="Calibri"/>
        <family val="2"/>
      </rPr>
      <t>1</t>
    </r>
  </si>
  <si>
    <r>
      <t xml:space="preserve">Other SWP 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</si>
  <si>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Non-SWP </t>
    </r>
    <r>
      <rPr>
        <b/>
        <vertAlign val="superscript"/>
        <sz val="11"/>
        <color theme="1"/>
        <rFont val="Calibri"/>
        <family val="2"/>
      </rPr>
      <t>3</t>
    </r>
  </si>
  <si>
    <t>(a)</t>
  </si>
  <si>
    <t>(b)</t>
  </si>
  <si>
    <t>(c)</t>
  </si>
  <si>
    <t>(e)</t>
  </si>
  <si>
    <t>(f)</t>
  </si>
  <si>
    <t>(g)</t>
  </si>
  <si>
    <t>Total MWD</t>
  </si>
  <si>
    <t>(d) = (a) + (b) + (c)</t>
  </si>
  <si>
    <t>Total Other SWC</t>
  </si>
  <si>
    <t>(h) = (e) + (f) + (g)</t>
  </si>
  <si>
    <t>(i) = (d) + (h)</t>
  </si>
  <si>
    <t>(j)</t>
  </si>
  <si>
    <t>(k) = (i) + (j)</t>
  </si>
  <si>
    <t>MWD Non-Table A</t>
  </si>
  <si>
    <t>= ((b) + (c)) / (d)</t>
  </si>
  <si>
    <t>MWD Non-SWP</t>
  </si>
  <si>
    <t>=  (c) / (d)</t>
  </si>
  <si>
    <t>Non-SWP</t>
  </si>
  <si>
    <t>Non SWC to Total</t>
  </si>
  <si>
    <t>=  (j) / (k)</t>
  </si>
  <si>
    <t>Other Contractors Non-SWP</t>
  </si>
  <si>
    <t>Other Contractors Non-Table A</t>
  </si>
  <si>
    <t>= ((f) + (g)) / (h)</t>
  </si>
  <si>
    <t>=  (g) / (h)</t>
  </si>
  <si>
    <t>Total</t>
  </si>
  <si>
    <t>SWP Deliveries--Acre-feet</t>
  </si>
  <si>
    <t>Total non-SWP to Total</t>
  </si>
  <si>
    <t>=((c)+ (g)+(j)) / (k)</t>
  </si>
  <si>
    <t>MWD Table A</t>
  </si>
  <si>
    <t>=(a) / (d)</t>
  </si>
  <si>
    <t>Other Contractors Table A</t>
  </si>
  <si>
    <t>= (e) / (h)</t>
  </si>
  <si>
    <t>SWP Deliveries--Percentages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</si>
</sst>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double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1" applyNumberFormat="1" applyFont="1"/>
    <xf numFmtId="165" fontId="0" fillId="0" borderId="0" xfId="2" applyNumberFormat="1" applyFont="1"/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0" xfId="0" applyFont="1" applyAlignment="1">
      <alignment horizontal="center"/>
    </xf>
    <xf numFmtId="0" fontId="2" fillId="0" borderId="0" xfId="0" quotePrefix="1" applyFont="1" applyAlignment="1">
      <alignment horizontal="right" wrapText="1"/>
    </xf>
    <xf numFmtId="0" fontId="0" fillId="0" borderId="0" xfId="0" applyAlignment="1">
      <alignment wrapText="1"/>
    </xf>
    <xf numFmtId="0" fontId="2" fillId="0" borderId="0" xfId="0" quotePrefix="1" applyFont="1" applyAlignment="1">
      <alignment horizontal="center" wrapText="1"/>
    </xf>
    <xf numFmtId="164" fontId="0" fillId="0" borderId="1" xfId="1" applyNumberFormat="1" applyFont="1" applyBorder="1"/>
    <xf numFmtId="164" fontId="0" fillId="0" borderId="1" xfId="0" applyNumberFormat="1" applyBorder="1"/>
    <xf numFmtId="165" fontId="1" fillId="0" borderId="0" xfId="2" applyNumberFormat="1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showGridLines="0" tabSelected="1" topLeftCell="K1" workbookViewId="0">
      <selection activeCell="O2" sqref="O2:W10"/>
    </sheetView>
  </sheetViews>
  <sheetFormatPr defaultRowHeight="15" x14ac:dyDescent="0.25"/>
  <cols>
    <col min="2" max="2" width="10.5703125" bestFit="1" customWidth="1"/>
    <col min="3" max="3" width="11.7109375" bestFit="1" customWidth="1"/>
    <col min="4" max="4" width="10.5703125" bestFit="1" customWidth="1"/>
    <col min="5" max="5" width="12.28515625" customWidth="1"/>
    <col min="6" max="6" width="2.7109375" customWidth="1"/>
    <col min="7" max="7" width="10.5703125" bestFit="1" customWidth="1"/>
    <col min="8" max="8" width="11.7109375" bestFit="1" customWidth="1"/>
    <col min="9" max="9" width="10.5703125" bestFit="1" customWidth="1"/>
    <col min="10" max="10" width="11.140625" customWidth="1"/>
    <col min="11" max="11" width="2.7109375" customWidth="1"/>
    <col min="12" max="12" width="11.5703125" bestFit="1" customWidth="1"/>
    <col min="13" max="13" width="9.5703125" bestFit="1" customWidth="1"/>
    <col min="14" max="15" width="12" customWidth="1"/>
    <col min="16" max="16" width="11" customWidth="1"/>
    <col min="17" max="17" width="15" customWidth="1"/>
    <col min="18" max="19" width="12" customWidth="1"/>
    <col min="20" max="20" width="17.7109375" customWidth="1"/>
    <col min="21" max="21" width="18.140625" customWidth="1"/>
    <col min="22" max="22" width="13.85546875" customWidth="1"/>
    <col min="23" max="23" width="16.85546875" customWidth="1"/>
  </cols>
  <sheetData>
    <row r="1" spans="1:27" ht="18.75" x14ac:dyDescent="0.3">
      <c r="B1" s="18" t="s">
        <v>37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P1" s="11"/>
      <c r="W1" s="8"/>
      <c r="X1" s="8"/>
      <c r="Y1" s="8"/>
      <c r="Z1" s="8"/>
      <c r="AA1" s="8"/>
    </row>
    <row r="2" spans="1:27" ht="33" x14ac:dyDescent="0.3">
      <c r="B2" s="19" t="s">
        <v>3</v>
      </c>
      <c r="C2" s="19"/>
      <c r="D2" s="19"/>
      <c r="E2" s="7"/>
      <c r="F2" s="7"/>
      <c r="G2" s="19" t="s">
        <v>2</v>
      </c>
      <c r="H2" s="19"/>
      <c r="I2" s="19"/>
      <c r="J2" s="7"/>
      <c r="K2" s="7"/>
      <c r="L2" s="6"/>
      <c r="M2" s="10" t="s">
        <v>7</v>
      </c>
      <c r="N2" s="10" t="s">
        <v>5</v>
      </c>
      <c r="O2" s="10"/>
      <c r="P2" s="10"/>
      <c r="Q2" s="18" t="s">
        <v>44</v>
      </c>
      <c r="R2" s="18"/>
      <c r="S2" s="18"/>
      <c r="T2" s="18"/>
      <c r="U2" s="18"/>
      <c r="V2" s="18"/>
    </row>
    <row r="3" spans="1:27" ht="30" x14ac:dyDescent="0.25">
      <c r="A3" s="13"/>
      <c r="B3" s="14" t="s">
        <v>12</v>
      </c>
      <c r="C3" s="14" t="s">
        <v>13</v>
      </c>
      <c r="D3" s="14" t="s">
        <v>14</v>
      </c>
      <c r="E3" s="14" t="s">
        <v>19</v>
      </c>
      <c r="F3" s="14"/>
      <c r="G3" s="14" t="s">
        <v>15</v>
      </c>
      <c r="H3" s="14" t="s">
        <v>16</v>
      </c>
      <c r="I3" s="14" t="s">
        <v>17</v>
      </c>
      <c r="J3" s="14" t="s">
        <v>21</v>
      </c>
      <c r="K3" s="14"/>
      <c r="L3" s="14" t="s">
        <v>22</v>
      </c>
      <c r="M3" s="12" t="s">
        <v>23</v>
      </c>
      <c r="N3" s="12" t="s">
        <v>24</v>
      </c>
      <c r="O3" s="12"/>
      <c r="P3" s="12" t="s">
        <v>41</v>
      </c>
      <c r="Q3" s="12" t="s">
        <v>26</v>
      </c>
      <c r="R3" s="12" t="s">
        <v>28</v>
      </c>
      <c r="S3" s="12" t="s">
        <v>43</v>
      </c>
      <c r="T3" s="12" t="s">
        <v>34</v>
      </c>
      <c r="U3" s="12" t="s">
        <v>35</v>
      </c>
      <c r="V3" s="12" t="s">
        <v>31</v>
      </c>
      <c r="W3" s="12" t="s">
        <v>39</v>
      </c>
    </row>
    <row r="4" spans="1:27" ht="45" x14ac:dyDescent="0.25">
      <c r="B4" s="9" t="s">
        <v>9</v>
      </c>
      <c r="C4" s="9" t="s">
        <v>10</v>
      </c>
      <c r="D4" s="9" t="s">
        <v>11</v>
      </c>
      <c r="E4" s="9" t="s">
        <v>18</v>
      </c>
      <c r="F4" s="9"/>
      <c r="G4" s="9" t="s">
        <v>9</v>
      </c>
      <c r="H4" s="9" t="s">
        <v>10</v>
      </c>
      <c r="I4" s="9" t="s">
        <v>11</v>
      </c>
      <c r="J4" s="10" t="s">
        <v>20</v>
      </c>
      <c r="K4" s="10"/>
      <c r="L4" s="9" t="s">
        <v>4</v>
      </c>
      <c r="M4" s="9" t="s">
        <v>29</v>
      </c>
      <c r="N4" s="4"/>
      <c r="O4" s="4"/>
      <c r="P4" s="10" t="s">
        <v>40</v>
      </c>
      <c r="Q4" s="10" t="s">
        <v>25</v>
      </c>
      <c r="R4" s="10" t="s">
        <v>27</v>
      </c>
      <c r="S4" s="10" t="s">
        <v>42</v>
      </c>
      <c r="T4" s="10" t="s">
        <v>33</v>
      </c>
      <c r="U4" s="10" t="s">
        <v>32</v>
      </c>
      <c r="V4" s="10" t="s">
        <v>30</v>
      </c>
      <c r="W4" s="10" t="s">
        <v>38</v>
      </c>
    </row>
    <row r="5" spans="1:27" x14ac:dyDescent="0.25">
      <c r="A5" s="5">
        <v>2010</v>
      </c>
      <c r="B5" s="1">
        <v>639537</v>
      </c>
      <c r="C5" s="1">
        <f>260673+5922+67783+18453</f>
        <v>352831</v>
      </c>
      <c r="D5" s="1">
        <f>66784+74211+124725</f>
        <v>265720</v>
      </c>
      <c r="E5" s="1">
        <f>SUM(B5:D5)</f>
        <v>1258088</v>
      </c>
      <c r="F5" s="15"/>
      <c r="G5" s="1">
        <f>1327271-B5</f>
        <v>687734</v>
      </c>
      <c r="H5" s="1">
        <f>408224+11371+263806+7505+23721-C5</f>
        <v>361796</v>
      </c>
      <c r="I5" s="1">
        <f>163132+172290+283644-D5</f>
        <v>353346</v>
      </c>
      <c r="J5" s="1">
        <f>SUM(G5:I5)</f>
        <v>1402876</v>
      </c>
      <c r="K5" s="15"/>
      <c r="L5" s="1">
        <f>J5+E5</f>
        <v>2660964</v>
      </c>
      <c r="M5" s="3">
        <v>148982</v>
      </c>
      <c r="N5" s="3">
        <f>+M5+L5</f>
        <v>2809946</v>
      </c>
      <c r="O5" s="5">
        <v>2010</v>
      </c>
      <c r="P5" s="17">
        <f>B5/E5</f>
        <v>0.50834043405548734</v>
      </c>
      <c r="Q5" s="2">
        <f>(C5+D5)/E5</f>
        <v>0.4916595659445126</v>
      </c>
      <c r="R5" s="2">
        <f>D5/E5</f>
        <v>0.21120939075803918</v>
      </c>
      <c r="S5" s="2">
        <f>G5/J5</f>
        <v>0.49023149586991294</v>
      </c>
      <c r="T5" s="2">
        <f>(H5+I5)/J5</f>
        <v>0.50976850413008701</v>
      </c>
      <c r="U5" s="2">
        <f>I5/J5</f>
        <v>0.25187258175348354</v>
      </c>
      <c r="V5" s="2">
        <f>M5/N5</f>
        <v>5.3019524218614875E-2</v>
      </c>
      <c r="W5" s="2">
        <f>(D5+I5+M5)/N5</f>
        <v>0.27333194303378072</v>
      </c>
    </row>
    <row r="6" spans="1:27" x14ac:dyDescent="0.25">
      <c r="A6" s="5">
        <v>2011</v>
      </c>
      <c r="B6" s="1">
        <v>857794</v>
      </c>
      <c r="C6" s="1">
        <f>350817+8237+55540+181610</f>
        <v>596204</v>
      </c>
      <c r="D6" s="1">
        <f>106423+39484</f>
        <v>145907</v>
      </c>
      <c r="E6" s="1">
        <f t="shared" ref="E6:E9" si="0">SUM(B6:D6)</f>
        <v>1599905</v>
      </c>
      <c r="F6" s="15"/>
      <c r="G6" s="1">
        <f>2078080-B6</f>
        <v>1220286</v>
      </c>
      <c r="H6" s="1">
        <f>470118+31061+268313+420691+2734-C6</f>
        <v>596713</v>
      </c>
      <c r="I6" s="1">
        <f>147558+82813+95386-D6</f>
        <v>179850</v>
      </c>
      <c r="J6" s="1">
        <f t="shared" ref="J6:J9" si="1">SUM(G6:I6)</f>
        <v>1996849</v>
      </c>
      <c r="K6" s="15"/>
      <c r="L6" s="1">
        <f t="shared" ref="L6:L10" si="2">J6+E6</f>
        <v>3596754</v>
      </c>
      <c r="M6" s="3">
        <v>49731</v>
      </c>
      <c r="N6" s="3">
        <f t="shared" ref="N6:N9" si="3">+M6+L6</f>
        <v>3646485</v>
      </c>
      <c r="O6" s="5">
        <v>2011</v>
      </c>
      <c r="P6" s="17">
        <f t="shared" ref="P6:P10" si="4">B6/E6</f>
        <v>0.53615308408936779</v>
      </c>
      <c r="Q6" s="2">
        <f t="shared" ref="Q6:Q10" si="5">(C6+D6)/E6</f>
        <v>0.46384691591063221</v>
      </c>
      <c r="R6" s="2">
        <f t="shared" ref="R6:R10" si="6">D6/E6</f>
        <v>9.1197289839084192E-2</v>
      </c>
      <c r="S6" s="2">
        <f t="shared" ref="S6:S10" si="7">G6/J6</f>
        <v>0.61110579718346258</v>
      </c>
      <c r="T6" s="2">
        <f t="shared" ref="T6:T10" si="8">(H6+I6)/J6</f>
        <v>0.38889420281653747</v>
      </c>
      <c r="U6" s="2">
        <f t="shared" ref="U6:U10" si="9">I6/J6</f>
        <v>9.0066900401582689E-2</v>
      </c>
      <c r="V6" s="2">
        <f t="shared" ref="V6:V10" si="10">M6/N6</f>
        <v>1.3638065150411972E-2</v>
      </c>
      <c r="W6" s="2">
        <f t="shared" ref="W6:W10" si="11">(D6+I6+M6)/N6</f>
        <v>0.10297258867100784</v>
      </c>
    </row>
    <row r="7" spans="1:27" x14ac:dyDescent="0.25">
      <c r="A7" s="5">
        <v>2012</v>
      </c>
      <c r="B7" s="1">
        <v>906009</v>
      </c>
      <c r="C7" s="1">
        <f>180075+4241+118172</f>
        <v>302488</v>
      </c>
      <c r="D7" s="1">
        <v>10010</v>
      </c>
      <c r="E7" s="1">
        <f t="shared" si="0"/>
        <v>1218507</v>
      </c>
      <c r="F7" s="15"/>
      <c r="G7" s="1">
        <f>1840479-B7</f>
        <v>934470</v>
      </c>
      <c r="H7" s="1">
        <f>364500+7740+380980+3517-C7</f>
        <v>454249</v>
      </c>
      <c r="I7" s="1">
        <f>22396+122128+110688-D7</f>
        <v>245202</v>
      </c>
      <c r="J7" s="1">
        <f t="shared" si="1"/>
        <v>1633921</v>
      </c>
      <c r="K7" s="15"/>
      <c r="L7" s="1">
        <f t="shared" si="2"/>
        <v>2852428</v>
      </c>
      <c r="M7" s="3">
        <v>82473</v>
      </c>
      <c r="N7" s="3">
        <f t="shared" si="3"/>
        <v>2934901</v>
      </c>
      <c r="O7" s="5">
        <v>2012</v>
      </c>
      <c r="P7" s="17">
        <f t="shared" si="4"/>
        <v>0.74354025048686634</v>
      </c>
      <c r="Q7" s="2">
        <f t="shared" si="5"/>
        <v>0.25645974951313372</v>
      </c>
      <c r="R7" s="2">
        <f t="shared" si="6"/>
        <v>8.2149712722208411E-3</v>
      </c>
      <c r="S7" s="2">
        <f t="shared" si="7"/>
        <v>0.57191871577634412</v>
      </c>
      <c r="T7" s="2">
        <f t="shared" si="8"/>
        <v>0.42808128422365588</v>
      </c>
      <c r="U7" s="2">
        <f t="shared" si="9"/>
        <v>0.15006967901140875</v>
      </c>
      <c r="V7" s="2">
        <f t="shared" si="10"/>
        <v>2.810077750493117E-2</v>
      </c>
      <c r="W7" s="2">
        <f t="shared" si="11"/>
        <v>0.11505839549613428</v>
      </c>
    </row>
    <row r="8" spans="1:27" x14ac:dyDescent="0.25">
      <c r="A8" s="5">
        <v>2013</v>
      </c>
      <c r="B8" s="1">
        <v>613271</v>
      </c>
      <c r="C8" s="1">
        <f>6592+32267+106288</f>
        <v>145147</v>
      </c>
      <c r="D8" s="1">
        <f>103260+10209</f>
        <v>113469</v>
      </c>
      <c r="E8" s="1">
        <f t="shared" si="0"/>
        <v>871887</v>
      </c>
      <c r="F8" s="15"/>
      <c r="G8" s="1">
        <f>1084692-B8</f>
        <v>471421</v>
      </c>
      <c r="H8" s="1">
        <f>86444+98732+350555+1752-C8</f>
        <v>392336</v>
      </c>
      <c r="I8" s="1">
        <f>5186+320864+160191-D8</f>
        <v>372772</v>
      </c>
      <c r="J8" s="1">
        <f t="shared" si="1"/>
        <v>1236529</v>
      </c>
      <c r="K8" s="15"/>
      <c r="L8" s="1">
        <f t="shared" si="2"/>
        <v>2108416</v>
      </c>
      <c r="M8" s="3">
        <v>68083</v>
      </c>
      <c r="N8" s="3">
        <f t="shared" si="3"/>
        <v>2176499</v>
      </c>
      <c r="O8" s="5">
        <v>2013</v>
      </c>
      <c r="P8" s="17">
        <f t="shared" si="4"/>
        <v>0.70338358067043094</v>
      </c>
      <c r="Q8" s="2">
        <f t="shared" si="5"/>
        <v>0.29661641932956906</v>
      </c>
      <c r="R8" s="2">
        <f t="shared" si="6"/>
        <v>0.13014186471412006</v>
      </c>
      <c r="S8" s="2">
        <f t="shared" si="7"/>
        <v>0.38124540548583979</v>
      </c>
      <c r="T8" s="2">
        <f t="shared" si="8"/>
        <v>0.61875459451416015</v>
      </c>
      <c r="U8" s="2">
        <f t="shared" si="9"/>
        <v>0.301466443569055</v>
      </c>
      <c r="V8" s="2">
        <f t="shared" si="10"/>
        <v>3.1280970034904682E-2</v>
      </c>
      <c r="W8" s="2">
        <f t="shared" si="11"/>
        <v>0.25468608071954085</v>
      </c>
    </row>
    <row r="9" spans="1:27" x14ac:dyDescent="0.25">
      <c r="A9" s="5">
        <v>2014</v>
      </c>
      <c r="B9" s="1">
        <v>59181</v>
      </c>
      <c r="C9" s="1">
        <f>728+222947</f>
        <v>223675</v>
      </c>
      <c r="D9" s="1">
        <f>104473+9559</f>
        <v>114032</v>
      </c>
      <c r="E9" s="1">
        <f t="shared" si="0"/>
        <v>396888</v>
      </c>
      <c r="F9" s="15"/>
      <c r="G9" s="1">
        <f>84599-B9</f>
        <v>25418</v>
      </c>
      <c r="H9" s="1">
        <f>7136+750+381936+1279+2899-C9</f>
        <v>170325</v>
      </c>
      <c r="I9" s="1">
        <f>109462+341476+148905-D9</f>
        <v>485811</v>
      </c>
      <c r="J9" s="1">
        <f t="shared" si="1"/>
        <v>681554</v>
      </c>
      <c r="K9" s="15"/>
      <c r="L9" s="1">
        <f t="shared" si="2"/>
        <v>1078442</v>
      </c>
      <c r="M9" s="3">
        <v>62097</v>
      </c>
      <c r="N9" s="3">
        <f t="shared" si="3"/>
        <v>1140539</v>
      </c>
      <c r="O9" s="5">
        <v>2014</v>
      </c>
      <c r="P9" s="17">
        <f t="shared" si="4"/>
        <v>0.14911259599685553</v>
      </c>
      <c r="Q9" s="2">
        <f t="shared" si="5"/>
        <v>0.85088740400314444</v>
      </c>
      <c r="R9" s="2">
        <f t="shared" si="6"/>
        <v>0.28731531313619962</v>
      </c>
      <c r="S9" s="2">
        <f t="shared" si="7"/>
        <v>3.7294183586333587E-2</v>
      </c>
      <c r="T9" s="2">
        <f t="shared" si="8"/>
        <v>0.96270581641366637</v>
      </c>
      <c r="U9" s="2">
        <f t="shared" si="9"/>
        <v>0.71279898584704948</v>
      </c>
      <c r="V9" s="2">
        <f t="shared" si="10"/>
        <v>5.4445310506699027E-2</v>
      </c>
      <c r="W9" s="2">
        <f t="shared" si="11"/>
        <v>0.5803747175677465</v>
      </c>
    </row>
    <row r="10" spans="1:27" x14ac:dyDescent="0.25">
      <c r="A10" s="9" t="s">
        <v>36</v>
      </c>
      <c r="B10" s="3">
        <f>SUM(B5:B9)</f>
        <v>3075792</v>
      </c>
      <c r="C10" s="3">
        <f t="shared" ref="C10:I10" si="12">SUM(C5:C9)</f>
        <v>1620345</v>
      </c>
      <c r="D10" s="3">
        <f t="shared" si="12"/>
        <v>649138</v>
      </c>
      <c r="E10" s="3">
        <f>SUM(E5:E9)</f>
        <v>5345275</v>
      </c>
      <c r="F10" s="16"/>
      <c r="G10" s="3">
        <f t="shared" si="12"/>
        <v>3339329</v>
      </c>
      <c r="H10" s="3">
        <f t="shared" si="12"/>
        <v>1975419</v>
      </c>
      <c r="I10" s="3">
        <f t="shared" si="12"/>
        <v>1636981</v>
      </c>
      <c r="J10" s="3">
        <f>SUM(J5:J9)</f>
        <v>6951729</v>
      </c>
      <c r="K10" s="16"/>
      <c r="L10" s="1">
        <f t="shared" si="2"/>
        <v>12297004</v>
      </c>
      <c r="M10" s="3">
        <f>SUM(M5:M9)</f>
        <v>411366</v>
      </c>
      <c r="N10" s="3">
        <f>SUM(N5:N9)</f>
        <v>12708370</v>
      </c>
      <c r="O10" s="9" t="s">
        <v>36</v>
      </c>
      <c r="P10" s="17">
        <f t="shared" si="4"/>
        <v>0.57542259285069519</v>
      </c>
      <c r="Q10" s="2">
        <f t="shared" si="5"/>
        <v>0.42457740714930475</v>
      </c>
      <c r="R10" s="2">
        <f t="shared" si="6"/>
        <v>0.12144145998101127</v>
      </c>
      <c r="S10" s="2">
        <f t="shared" si="7"/>
        <v>0.48035949042317388</v>
      </c>
      <c r="T10" s="2">
        <f t="shared" si="8"/>
        <v>0.51964050957682617</v>
      </c>
      <c r="U10" s="2">
        <f t="shared" si="9"/>
        <v>0.2354782529641187</v>
      </c>
      <c r="V10" s="2">
        <f t="shared" si="10"/>
        <v>3.2369690212041356E-2</v>
      </c>
      <c r="W10" s="2">
        <f t="shared" si="11"/>
        <v>0.21226050233035393</v>
      </c>
    </row>
    <row r="11" spans="1:27" ht="17.25" x14ac:dyDescent="0.25">
      <c r="A11" t="s">
        <v>1</v>
      </c>
    </row>
    <row r="12" spans="1:27" ht="17.25" x14ac:dyDescent="0.25">
      <c r="A12" t="s">
        <v>6</v>
      </c>
    </row>
    <row r="13" spans="1:27" ht="17.25" x14ac:dyDescent="0.25">
      <c r="A13" t="s">
        <v>0</v>
      </c>
    </row>
    <row r="14" spans="1:27" ht="17.25" x14ac:dyDescent="0.25">
      <c r="A14" t="s">
        <v>8</v>
      </c>
    </row>
  </sheetData>
  <mergeCells count="4">
    <mergeCell ref="Q2:V2"/>
    <mergeCell ref="B2:D2"/>
    <mergeCell ref="G2:I2"/>
    <mergeCell ref="B1:N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Misc Forecast Files</Section>
    <ParentListItemID xmlns="647b500e-2e54-493e-9891-abb9c0422344" xsi:nil="true"/>
  </documentManagement>
</p:properties>
</file>

<file path=customXml/itemProps1.xml><?xml version="1.0" encoding="utf-8"?>
<ds:datastoreItem xmlns:ds="http://schemas.openxmlformats.org/officeDocument/2006/customXml" ds:itemID="{32C07DB7-C803-4545-A63D-CC38FBC38CB0}"/>
</file>

<file path=customXml/itemProps2.xml><?xml version="1.0" encoding="utf-8"?>
<ds:datastoreItem xmlns:ds="http://schemas.openxmlformats.org/officeDocument/2006/customXml" ds:itemID="{0E1BF3A2-E08E-430B-A137-B8A28461A004}"/>
</file>

<file path=customXml/itemProps3.xml><?xml version="1.0" encoding="utf-8"?>
<ds:datastoreItem xmlns:ds="http://schemas.openxmlformats.org/officeDocument/2006/customXml" ds:itemID="{D3DE5AC5-3ADE-448E-83EA-E95DBA220B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MWD delivery comparison</dc:title>
  <dc:creator>u07042</dc:creator>
  <cp:lastModifiedBy>u07042</cp:lastModifiedBy>
  <dcterms:created xsi:type="dcterms:W3CDTF">2015-09-22T14:45:48Z</dcterms:created>
  <dcterms:modified xsi:type="dcterms:W3CDTF">2016-03-13T17:06:40Z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