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4.xml" ContentType="application/vnd.openxmlformats-officedocument.spreadsheetml.comments+xml"/>
  <Override PartName="/xl/comments3.xml" ContentType="application/vnd.openxmlformats-officedocument.spreadsheetml.comments+xml"/>
  <Override PartName="/xl/comments2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-15" yWindow="-15" windowWidth="12120" windowHeight="8970" activeTab="5"/>
  </bookViews>
  <sheets>
    <sheet name="Labor" sheetId="164" r:id="rId1"/>
    <sheet name="Comparison_Yr" sheetId="148" r:id="rId2"/>
    <sheet name="OpEq" sheetId="153" r:id="rId3"/>
    <sheet name="Lbor" sheetId="167" r:id="rId4"/>
    <sheet name="Summary" sheetId="165" r:id="rId5"/>
    <sheet name="GDR_Accts" sheetId="32809" r:id="rId6"/>
    <sheet name="All_Accts" sheetId="154" r:id="rId7"/>
    <sheet name="16_17" sheetId="32810" r:id="rId8"/>
    <sheet name="15_16" sheetId="32808" r:id="rId9"/>
    <sheet name="14_15" sheetId="32807" r:id="rId10"/>
    <sheet name="13_14" sheetId="32806" r:id="rId11"/>
    <sheet name="12_13" sheetId="32805" r:id="rId12"/>
    <sheet name="11_12" sheetId="32804" r:id="rId13"/>
    <sheet name="10_11" sheetId="32802" r:id="rId14"/>
    <sheet name="09_10" sheetId="32801" r:id="rId15"/>
    <sheet name="08_09" sheetId="32799" r:id="rId16"/>
    <sheet name="Compare" sheetId="32803" r:id="rId17"/>
  </sheets>
  <definedNames>
    <definedName name="_xlnm.Print_Area" localSheetId="0">Labor!$BF$39:$BO$72</definedName>
  </definedNames>
  <calcPr calcId="145621"/>
</workbook>
</file>

<file path=xl/calcChain.xml><?xml version="1.0" encoding="utf-8"?>
<calcChain xmlns="http://schemas.openxmlformats.org/spreadsheetml/2006/main">
  <c r="S132" i="32809" l="1"/>
  <c r="AD132" i="32809"/>
  <c r="AC132" i="32809"/>
  <c r="AB132" i="32809"/>
  <c r="AA132" i="32809"/>
  <c r="Z132" i="32809"/>
  <c r="Y132" i="32809"/>
  <c r="X132" i="32809"/>
  <c r="W132" i="32809"/>
  <c r="V132" i="32809"/>
  <c r="U132" i="32809"/>
  <c r="T132" i="32809"/>
  <c r="D107" i="32809"/>
  <c r="D108" i="32809"/>
  <c r="D109" i="32809"/>
  <c r="D111" i="32809"/>
  <c r="D113" i="32809"/>
  <c r="D115" i="32809"/>
  <c r="D117" i="32809"/>
  <c r="D119" i="32809"/>
  <c r="D104" i="32809"/>
  <c r="O135" i="154" l="1"/>
  <c r="O136" i="154"/>
  <c r="N139" i="32809" l="1"/>
  <c r="M139" i="32809"/>
  <c r="L139" i="32809"/>
  <c r="K139" i="32809"/>
  <c r="J139" i="32809"/>
  <c r="I139" i="32809"/>
  <c r="H139" i="32809"/>
  <c r="G139" i="32809"/>
  <c r="F139" i="32809"/>
  <c r="E139" i="32809"/>
  <c r="D139" i="32809"/>
  <c r="C139" i="32809"/>
  <c r="N138" i="32809"/>
  <c r="M138" i="32809"/>
  <c r="L138" i="32809"/>
  <c r="K138" i="32809"/>
  <c r="J138" i="32809"/>
  <c r="I138" i="32809"/>
  <c r="H138" i="32809"/>
  <c r="G138" i="32809"/>
  <c r="F138" i="32809"/>
  <c r="E138" i="32809"/>
  <c r="D138" i="32809"/>
  <c r="C138" i="32809"/>
  <c r="O178" i="32809"/>
  <c r="O177" i="32809"/>
  <c r="T175" i="32809"/>
  <c r="N174" i="32809"/>
  <c r="M174" i="32809"/>
  <c r="L174" i="32809"/>
  <c r="K174" i="32809"/>
  <c r="K175" i="32809" s="1"/>
  <c r="J174" i="32809"/>
  <c r="J175" i="32809" s="1"/>
  <c r="I174" i="32809"/>
  <c r="H174" i="32809"/>
  <c r="G174" i="32809"/>
  <c r="F174" i="32809"/>
  <c r="E174" i="32809"/>
  <c r="D174" i="32809"/>
  <c r="C174" i="32809"/>
  <c r="C175" i="32809" s="1"/>
  <c r="AD172" i="32809"/>
  <c r="AD175" i="32809" s="1"/>
  <c r="AC172" i="32809"/>
  <c r="AC175" i="32809" s="1"/>
  <c r="AB172" i="32809"/>
  <c r="AB175" i="32809" s="1"/>
  <c r="AA172" i="32809"/>
  <c r="AA175" i="32809" s="1"/>
  <c r="Z172" i="32809"/>
  <c r="Z175" i="32809" s="1"/>
  <c r="Y172" i="32809"/>
  <c r="Y175" i="32809" s="1"/>
  <c r="X172" i="32809"/>
  <c r="X175" i="32809" s="1"/>
  <c r="W172" i="32809"/>
  <c r="W175" i="32809" s="1"/>
  <c r="V172" i="32809"/>
  <c r="V175" i="32809" s="1"/>
  <c r="U172" i="32809"/>
  <c r="U175" i="32809" s="1"/>
  <c r="T172" i="32809"/>
  <c r="S172" i="32809"/>
  <c r="S175" i="32809" s="1"/>
  <c r="N171" i="32809"/>
  <c r="M171" i="32809"/>
  <c r="L171" i="32809"/>
  <c r="K171" i="32809"/>
  <c r="J171" i="32809"/>
  <c r="I171" i="32809"/>
  <c r="H171" i="32809"/>
  <c r="G171" i="32809"/>
  <c r="F171" i="32809"/>
  <c r="E171" i="32809"/>
  <c r="D171" i="32809"/>
  <c r="C171" i="32809"/>
  <c r="O171" i="32809" s="1"/>
  <c r="N170" i="32809"/>
  <c r="M170" i="32809"/>
  <c r="L170" i="32809"/>
  <c r="K170" i="32809"/>
  <c r="J170" i="32809"/>
  <c r="I170" i="32809"/>
  <c r="H170" i="32809"/>
  <c r="G170" i="32809"/>
  <c r="F170" i="32809"/>
  <c r="E170" i="32809"/>
  <c r="D170" i="32809"/>
  <c r="C170" i="32809"/>
  <c r="O170" i="32809" s="1"/>
  <c r="N169" i="32809"/>
  <c r="M169" i="32809"/>
  <c r="L169" i="32809"/>
  <c r="K169" i="32809"/>
  <c r="J169" i="32809"/>
  <c r="I169" i="32809"/>
  <c r="H169" i="32809"/>
  <c r="G169" i="32809"/>
  <c r="F169" i="32809"/>
  <c r="E169" i="32809"/>
  <c r="O169" i="32809" s="1"/>
  <c r="D169" i="32809"/>
  <c r="C169" i="32809"/>
  <c r="N168" i="32809"/>
  <c r="M168" i="32809"/>
  <c r="L168" i="32809"/>
  <c r="K168" i="32809"/>
  <c r="J168" i="32809"/>
  <c r="I168" i="32809"/>
  <c r="H168" i="32809"/>
  <c r="G168" i="32809"/>
  <c r="F168" i="32809"/>
  <c r="E168" i="32809"/>
  <c r="D168" i="32809"/>
  <c r="C168" i="32809"/>
  <c r="O168" i="32809" s="1"/>
  <c r="O167" i="32809"/>
  <c r="N167" i="32809"/>
  <c r="M167" i="32809"/>
  <c r="L167" i="32809"/>
  <c r="K167" i="32809"/>
  <c r="J167" i="32809"/>
  <c r="I167" i="32809"/>
  <c r="H167" i="32809"/>
  <c r="G167" i="32809"/>
  <c r="F167" i="32809"/>
  <c r="E167" i="32809"/>
  <c r="D167" i="32809"/>
  <c r="C167" i="32809"/>
  <c r="N166" i="32809"/>
  <c r="M166" i="32809"/>
  <c r="L166" i="32809"/>
  <c r="K166" i="32809"/>
  <c r="J166" i="32809"/>
  <c r="I166" i="32809"/>
  <c r="H166" i="32809"/>
  <c r="G166" i="32809"/>
  <c r="F166" i="32809"/>
  <c r="E166" i="32809"/>
  <c r="D166" i="32809"/>
  <c r="O166" i="32809" s="1"/>
  <c r="C166" i="32809"/>
  <c r="N165" i="32809"/>
  <c r="M165" i="32809"/>
  <c r="L165" i="32809"/>
  <c r="K165" i="32809"/>
  <c r="J165" i="32809"/>
  <c r="I165" i="32809"/>
  <c r="H165" i="32809"/>
  <c r="G165" i="32809"/>
  <c r="F165" i="32809"/>
  <c r="E165" i="32809"/>
  <c r="D165" i="32809"/>
  <c r="C165" i="32809"/>
  <c r="O165" i="32809" s="1"/>
  <c r="N164" i="32809"/>
  <c r="M164" i="32809"/>
  <c r="L164" i="32809"/>
  <c r="K164" i="32809"/>
  <c r="J164" i="32809"/>
  <c r="I164" i="32809"/>
  <c r="H164" i="32809"/>
  <c r="G164" i="32809"/>
  <c r="F164" i="32809"/>
  <c r="O164" i="32809" s="1"/>
  <c r="E164" i="32809"/>
  <c r="D164" i="32809"/>
  <c r="C164" i="32809"/>
  <c r="N163" i="32809"/>
  <c r="M163" i="32809"/>
  <c r="L163" i="32809"/>
  <c r="K163" i="32809"/>
  <c r="J163" i="32809"/>
  <c r="I163" i="32809"/>
  <c r="H163" i="32809"/>
  <c r="G163" i="32809"/>
  <c r="F163" i="32809"/>
  <c r="E163" i="32809"/>
  <c r="D163" i="32809"/>
  <c r="C163" i="32809"/>
  <c r="O163" i="32809" s="1"/>
  <c r="N162" i="32809"/>
  <c r="M162" i="32809"/>
  <c r="L162" i="32809"/>
  <c r="K162" i="32809"/>
  <c r="J162" i="32809"/>
  <c r="I162" i="32809"/>
  <c r="H162" i="32809"/>
  <c r="G162" i="32809"/>
  <c r="F162" i="32809"/>
  <c r="E162" i="32809"/>
  <c r="D162" i="32809"/>
  <c r="C162" i="32809"/>
  <c r="O162" i="32809" s="1"/>
  <c r="N161" i="32809"/>
  <c r="M161" i="32809"/>
  <c r="L161" i="32809"/>
  <c r="K161" i="32809"/>
  <c r="J161" i="32809"/>
  <c r="I161" i="32809"/>
  <c r="H161" i="32809"/>
  <c r="G161" i="32809"/>
  <c r="F161" i="32809"/>
  <c r="E161" i="32809"/>
  <c r="O161" i="32809" s="1"/>
  <c r="D161" i="32809"/>
  <c r="C161" i="32809"/>
  <c r="N160" i="32809"/>
  <c r="M160" i="32809"/>
  <c r="L160" i="32809"/>
  <c r="K160" i="32809"/>
  <c r="J160" i="32809"/>
  <c r="I160" i="32809"/>
  <c r="H160" i="32809"/>
  <c r="G160" i="32809"/>
  <c r="F160" i="32809"/>
  <c r="E160" i="32809"/>
  <c r="D160" i="32809"/>
  <c r="C160" i="32809"/>
  <c r="O160" i="32809" s="1"/>
  <c r="N159" i="32809"/>
  <c r="M159" i="32809"/>
  <c r="L159" i="32809"/>
  <c r="K159" i="32809"/>
  <c r="J159" i="32809"/>
  <c r="I159" i="32809"/>
  <c r="H159" i="32809"/>
  <c r="G159" i="32809"/>
  <c r="O159" i="32809" s="1"/>
  <c r="F159" i="32809"/>
  <c r="E159" i="32809"/>
  <c r="D159" i="32809"/>
  <c r="C159" i="32809"/>
  <c r="N158" i="32809"/>
  <c r="M158" i="32809"/>
  <c r="L158" i="32809"/>
  <c r="K158" i="32809"/>
  <c r="J158" i="32809"/>
  <c r="I158" i="32809"/>
  <c r="H158" i="32809"/>
  <c r="G158" i="32809"/>
  <c r="F158" i="32809"/>
  <c r="E158" i="32809"/>
  <c r="D158" i="32809"/>
  <c r="O158" i="32809" s="1"/>
  <c r="C158" i="32809"/>
  <c r="N157" i="32809"/>
  <c r="M157" i="32809"/>
  <c r="L157" i="32809"/>
  <c r="K157" i="32809"/>
  <c r="J157" i="32809"/>
  <c r="I157" i="32809"/>
  <c r="H157" i="32809"/>
  <c r="G157" i="32809"/>
  <c r="F157" i="32809"/>
  <c r="E157" i="32809"/>
  <c r="D157" i="32809"/>
  <c r="C157" i="32809"/>
  <c r="O157" i="32809" s="1"/>
  <c r="N156" i="32809"/>
  <c r="M156" i="32809"/>
  <c r="L156" i="32809"/>
  <c r="K156" i="32809"/>
  <c r="J156" i="32809"/>
  <c r="I156" i="32809"/>
  <c r="H156" i="32809"/>
  <c r="G156" i="32809"/>
  <c r="F156" i="32809"/>
  <c r="O156" i="32809" s="1"/>
  <c r="E156" i="32809"/>
  <c r="D156" i="32809"/>
  <c r="C156" i="32809"/>
  <c r="N155" i="32809"/>
  <c r="M155" i="32809"/>
  <c r="L155" i="32809"/>
  <c r="K155" i="32809"/>
  <c r="J155" i="32809"/>
  <c r="I155" i="32809"/>
  <c r="H155" i="32809"/>
  <c r="G155" i="32809"/>
  <c r="F155" i="32809"/>
  <c r="E155" i="32809"/>
  <c r="D155" i="32809"/>
  <c r="C155" i="32809"/>
  <c r="O155" i="32809" s="1"/>
  <c r="N154" i="32809"/>
  <c r="M154" i="32809"/>
  <c r="L154" i="32809"/>
  <c r="K154" i="32809"/>
  <c r="J154" i="32809"/>
  <c r="I154" i="32809"/>
  <c r="H154" i="32809"/>
  <c r="G154" i="32809"/>
  <c r="F154" i="32809"/>
  <c r="E154" i="32809"/>
  <c r="D154" i="32809"/>
  <c r="C154" i="32809"/>
  <c r="O154" i="32809" s="1"/>
  <c r="N153" i="32809"/>
  <c r="M153" i="32809"/>
  <c r="L153" i="32809"/>
  <c r="K153" i="32809"/>
  <c r="J153" i="32809"/>
  <c r="I153" i="32809"/>
  <c r="H153" i="32809"/>
  <c r="G153" i="32809"/>
  <c r="F153" i="32809"/>
  <c r="E153" i="32809"/>
  <c r="O153" i="32809" s="1"/>
  <c r="D153" i="32809"/>
  <c r="C153" i="32809"/>
  <c r="N152" i="32809"/>
  <c r="M152" i="32809"/>
  <c r="L152" i="32809"/>
  <c r="K152" i="32809"/>
  <c r="J152" i="32809"/>
  <c r="I152" i="32809"/>
  <c r="H152" i="32809"/>
  <c r="G152" i="32809"/>
  <c r="F152" i="32809"/>
  <c r="E152" i="32809"/>
  <c r="D152" i="32809"/>
  <c r="C152" i="32809"/>
  <c r="O152" i="32809" s="1"/>
  <c r="N151" i="32809"/>
  <c r="M151" i="32809"/>
  <c r="L151" i="32809"/>
  <c r="K151" i="32809"/>
  <c r="J151" i="32809"/>
  <c r="I151" i="32809"/>
  <c r="H151" i="32809"/>
  <c r="G151" i="32809"/>
  <c r="O151" i="32809" s="1"/>
  <c r="F151" i="32809"/>
  <c r="E151" i="32809"/>
  <c r="D151" i="32809"/>
  <c r="C151" i="32809"/>
  <c r="N150" i="32809"/>
  <c r="M150" i="32809"/>
  <c r="L150" i="32809"/>
  <c r="K150" i="32809"/>
  <c r="J150" i="32809"/>
  <c r="I150" i="32809"/>
  <c r="H150" i="32809"/>
  <c r="G150" i="32809"/>
  <c r="F150" i="32809"/>
  <c r="E150" i="32809"/>
  <c r="D150" i="32809"/>
  <c r="O150" i="32809" s="1"/>
  <c r="C150" i="32809"/>
  <c r="N149" i="32809"/>
  <c r="M149" i="32809"/>
  <c r="L149" i="32809"/>
  <c r="K149" i="32809"/>
  <c r="J149" i="32809"/>
  <c r="I149" i="32809"/>
  <c r="H149" i="32809"/>
  <c r="G149" i="32809"/>
  <c r="F149" i="32809"/>
  <c r="E149" i="32809"/>
  <c r="D149" i="32809"/>
  <c r="C149" i="32809"/>
  <c r="O149" i="32809" s="1"/>
  <c r="N148" i="32809"/>
  <c r="N172" i="32809" s="1"/>
  <c r="N173" i="32809" s="1"/>
  <c r="N175" i="32809" s="1"/>
  <c r="M148" i="32809"/>
  <c r="L148" i="32809"/>
  <c r="K148" i="32809"/>
  <c r="J148" i="32809"/>
  <c r="I148" i="32809"/>
  <c r="H148" i="32809"/>
  <c r="G148" i="32809"/>
  <c r="F148" i="32809"/>
  <c r="O148" i="32809" s="1"/>
  <c r="E148" i="32809"/>
  <c r="D148" i="32809"/>
  <c r="C148" i="32809"/>
  <c r="N147" i="32809"/>
  <c r="M147" i="32809"/>
  <c r="L147" i="32809"/>
  <c r="K147" i="32809"/>
  <c r="J147" i="32809"/>
  <c r="I147" i="32809"/>
  <c r="H147" i="32809"/>
  <c r="G147" i="32809"/>
  <c r="F147" i="32809"/>
  <c r="E147" i="32809"/>
  <c r="D147" i="32809"/>
  <c r="C147" i="32809"/>
  <c r="O147" i="32809" s="1"/>
  <c r="N146" i="32809"/>
  <c r="M146" i="32809"/>
  <c r="L146" i="32809"/>
  <c r="K146" i="32809"/>
  <c r="J146" i="32809"/>
  <c r="I146" i="32809"/>
  <c r="H146" i="32809"/>
  <c r="G146" i="32809"/>
  <c r="F146" i="32809"/>
  <c r="E146" i="32809"/>
  <c r="D146" i="32809"/>
  <c r="C146" i="32809"/>
  <c r="O146" i="32809" s="1"/>
  <c r="N145" i="32809"/>
  <c r="M145" i="32809"/>
  <c r="L145" i="32809"/>
  <c r="K145" i="32809"/>
  <c r="J145" i="32809"/>
  <c r="I145" i="32809"/>
  <c r="H145" i="32809"/>
  <c r="G145" i="32809"/>
  <c r="F145" i="32809"/>
  <c r="E145" i="32809"/>
  <c r="O145" i="32809" s="1"/>
  <c r="D145" i="32809"/>
  <c r="C145" i="32809"/>
  <c r="N144" i="32809"/>
  <c r="M144" i="32809"/>
  <c r="L144" i="32809"/>
  <c r="K144" i="32809"/>
  <c r="K172" i="32809" s="1"/>
  <c r="K173" i="32809" s="1"/>
  <c r="J144" i="32809"/>
  <c r="I144" i="32809"/>
  <c r="H144" i="32809"/>
  <c r="G144" i="32809"/>
  <c r="F144" i="32809"/>
  <c r="E144" i="32809"/>
  <c r="D144" i="32809"/>
  <c r="C144" i="32809"/>
  <c r="C172" i="32809" s="1"/>
  <c r="C173" i="32809" s="1"/>
  <c r="N143" i="32809"/>
  <c r="M143" i="32809"/>
  <c r="M172" i="32809" s="1"/>
  <c r="M173" i="32809" s="1"/>
  <c r="M175" i="32809" s="1"/>
  <c r="L143" i="32809"/>
  <c r="L172" i="32809" s="1"/>
  <c r="L173" i="32809" s="1"/>
  <c r="K143" i="32809"/>
  <c r="J143" i="32809"/>
  <c r="J172" i="32809" s="1"/>
  <c r="J173" i="32809" s="1"/>
  <c r="I143" i="32809"/>
  <c r="I172" i="32809" s="1"/>
  <c r="I173" i="32809" s="1"/>
  <c r="H143" i="32809"/>
  <c r="H172" i="32809" s="1"/>
  <c r="H173" i="32809" s="1"/>
  <c r="H175" i="32809" s="1"/>
  <c r="G143" i="32809"/>
  <c r="O143" i="32809" s="1"/>
  <c r="F143" i="32809"/>
  <c r="E143" i="32809"/>
  <c r="E172" i="32809" s="1"/>
  <c r="E173" i="32809" s="1"/>
  <c r="E175" i="32809" s="1"/>
  <c r="D143" i="32809"/>
  <c r="D172" i="32809" s="1"/>
  <c r="C143" i="32809"/>
  <c r="N220" i="32809"/>
  <c r="M220" i="32809"/>
  <c r="L220" i="32809"/>
  <c r="K220" i="32809"/>
  <c r="J220" i="32809"/>
  <c r="I220" i="32809"/>
  <c r="H220" i="32809"/>
  <c r="G220" i="32809"/>
  <c r="O220" i="32809" s="1"/>
  <c r="F220" i="32809"/>
  <c r="E220" i="32809"/>
  <c r="D220" i="32809"/>
  <c r="C220" i="32809"/>
  <c r="N219" i="32809"/>
  <c r="M219" i="32809"/>
  <c r="L219" i="32809"/>
  <c r="K219" i="32809"/>
  <c r="J219" i="32809"/>
  <c r="I219" i="32809"/>
  <c r="H219" i="32809"/>
  <c r="G219" i="32809"/>
  <c r="F219" i="32809"/>
  <c r="E219" i="32809"/>
  <c r="D219" i="32809"/>
  <c r="O219" i="32809" s="1"/>
  <c r="C219" i="32809"/>
  <c r="Y217" i="32809"/>
  <c r="N216" i="32809"/>
  <c r="N217" i="32809" s="1"/>
  <c r="M216" i="32809"/>
  <c r="M217" i="32809" s="1"/>
  <c r="L216" i="32809"/>
  <c r="K216" i="32809"/>
  <c r="J216" i="32809"/>
  <c r="I216" i="32809"/>
  <c r="H216" i="32809"/>
  <c r="H217" i="32809" s="1"/>
  <c r="G216" i="32809"/>
  <c r="F216" i="32809"/>
  <c r="E216" i="32809"/>
  <c r="E217" i="32809" s="1"/>
  <c r="D216" i="32809"/>
  <c r="C216" i="32809"/>
  <c r="AD214" i="32809"/>
  <c r="AD217" i="32809" s="1"/>
  <c r="AC214" i="32809"/>
  <c r="AC217" i="32809" s="1"/>
  <c r="AB214" i="32809"/>
  <c r="AB217" i="32809" s="1"/>
  <c r="AA214" i="32809"/>
  <c r="AA217" i="32809" s="1"/>
  <c r="Z214" i="32809"/>
  <c r="Z217" i="32809" s="1"/>
  <c r="Y214" i="32809"/>
  <c r="X214" i="32809"/>
  <c r="X217" i="32809" s="1"/>
  <c r="W214" i="32809"/>
  <c r="W217" i="32809" s="1"/>
  <c r="V214" i="32809"/>
  <c r="V217" i="32809" s="1"/>
  <c r="U214" i="32809"/>
  <c r="U217" i="32809" s="1"/>
  <c r="T214" i="32809"/>
  <c r="T217" i="32809" s="1"/>
  <c r="S214" i="32809"/>
  <c r="S217" i="32809" s="1"/>
  <c r="N213" i="32809"/>
  <c r="M213" i="32809"/>
  <c r="L213" i="32809"/>
  <c r="K213" i="32809"/>
  <c r="J213" i="32809"/>
  <c r="I213" i="32809"/>
  <c r="H213" i="32809"/>
  <c r="G213" i="32809"/>
  <c r="O213" i="32809" s="1"/>
  <c r="F213" i="32809"/>
  <c r="E213" i="32809"/>
  <c r="D213" i="32809"/>
  <c r="C213" i="32809"/>
  <c r="O212" i="32809"/>
  <c r="N212" i="32809"/>
  <c r="M212" i="32809"/>
  <c r="L212" i="32809"/>
  <c r="K212" i="32809"/>
  <c r="J212" i="32809"/>
  <c r="I212" i="32809"/>
  <c r="H212" i="32809"/>
  <c r="G212" i="32809"/>
  <c r="F212" i="32809"/>
  <c r="E212" i="32809"/>
  <c r="D212" i="32809"/>
  <c r="C212" i="32809"/>
  <c r="N211" i="32809"/>
  <c r="M211" i="32809"/>
  <c r="L211" i="32809"/>
  <c r="K211" i="32809"/>
  <c r="J211" i="32809"/>
  <c r="I211" i="32809"/>
  <c r="H211" i="32809"/>
  <c r="G211" i="32809"/>
  <c r="F211" i="32809"/>
  <c r="E211" i="32809"/>
  <c r="D211" i="32809"/>
  <c r="O211" i="32809" s="1"/>
  <c r="C211" i="32809"/>
  <c r="N210" i="32809"/>
  <c r="M210" i="32809"/>
  <c r="L210" i="32809"/>
  <c r="K210" i="32809"/>
  <c r="J210" i="32809"/>
  <c r="I210" i="32809"/>
  <c r="H210" i="32809"/>
  <c r="G210" i="32809"/>
  <c r="F210" i="32809"/>
  <c r="O210" i="32809" s="1"/>
  <c r="E210" i="32809"/>
  <c r="D210" i="32809"/>
  <c r="C210" i="32809"/>
  <c r="N209" i="32809"/>
  <c r="M209" i="32809"/>
  <c r="L209" i="32809"/>
  <c r="K209" i="32809"/>
  <c r="J209" i="32809"/>
  <c r="I209" i="32809"/>
  <c r="H209" i="32809"/>
  <c r="G209" i="32809"/>
  <c r="F209" i="32809"/>
  <c r="E209" i="32809"/>
  <c r="D209" i="32809"/>
  <c r="C209" i="32809"/>
  <c r="O209" i="32809" s="1"/>
  <c r="N208" i="32809"/>
  <c r="M208" i="32809"/>
  <c r="L208" i="32809"/>
  <c r="K208" i="32809"/>
  <c r="J208" i="32809"/>
  <c r="I208" i="32809"/>
  <c r="H208" i="32809"/>
  <c r="G208" i="32809"/>
  <c r="F208" i="32809"/>
  <c r="E208" i="32809"/>
  <c r="D208" i="32809"/>
  <c r="C208" i="32809"/>
  <c r="O208" i="32809" s="1"/>
  <c r="N207" i="32809"/>
  <c r="M207" i="32809"/>
  <c r="L207" i="32809"/>
  <c r="K207" i="32809"/>
  <c r="J207" i="32809"/>
  <c r="I207" i="32809"/>
  <c r="H207" i="32809"/>
  <c r="G207" i="32809"/>
  <c r="F207" i="32809"/>
  <c r="E207" i="32809"/>
  <c r="D207" i="32809"/>
  <c r="C207" i="32809"/>
  <c r="O207" i="32809" s="1"/>
  <c r="N206" i="32809"/>
  <c r="M206" i="32809"/>
  <c r="L206" i="32809"/>
  <c r="K206" i="32809"/>
  <c r="J206" i="32809"/>
  <c r="I206" i="32809"/>
  <c r="H206" i="32809"/>
  <c r="G206" i="32809"/>
  <c r="F206" i="32809"/>
  <c r="E206" i="32809"/>
  <c r="D206" i="32809"/>
  <c r="C206" i="32809"/>
  <c r="O206" i="32809" s="1"/>
  <c r="N205" i="32809"/>
  <c r="M205" i="32809"/>
  <c r="L205" i="32809"/>
  <c r="K205" i="32809"/>
  <c r="J205" i="32809"/>
  <c r="I205" i="32809"/>
  <c r="H205" i="32809"/>
  <c r="G205" i="32809"/>
  <c r="O205" i="32809" s="1"/>
  <c r="F205" i="32809"/>
  <c r="E205" i="32809"/>
  <c r="D205" i="32809"/>
  <c r="C205" i="32809"/>
  <c r="N204" i="32809"/>
  <c r="M204" i="32809"/>
  <c r="L204" i="32809"/>
  <c r="K204" i="32809"/>
  <c r="J204" i="32809"/>
  <c r="I204" i="32809"/>
  <c r="H204" i="32809"/>
  <c r="G204" i="32809"/>
  <c r="O204" i="32809" s="1"/>
  <c r="F204" i="32809"/>
  <c r="E204" i="32809"/>
  <c r="D204" i="32809"/>
  <c r="C204" i="32809"/>
  <c r="N203" i="32809"/>
  <c r="M203" i="32809"/>
  <c r="L203" i="32809"/>
  <c r="K203" i="32809"/>
  <c r="J203" i="32809"/>
  <c r="I203" i="32809"/>
  <c r="H203" i="32809"/>
  <c r="G203" i="32809"/>
  <c r="F203" i="32809"/>
  <c r="E203" i="32809"/>
  <c r="D203" i="32809"/>
  <c r="O203" i="32809" s="1"/>
  <c r="C203" i="32809"/>
  <c r="N202" i="32809"/>
  <c r="M202" i="32809"/>
  <c r="L202" i="32809"/>
  <c r="K202" i="32809"/>
  <c r="J202" i="32809"/>
  <c r="I202" i="32809"/>
  <c r="H202" i="32809"/>
  <c r="G202" i="32809"/>
  <c r="F202" i="32809"/>
  <c r="O202" i="32809" s="1"/>
  <c r="E202" i="32809"/>
  <c r="D202" i="32809"/>
  <c r="C202" i="32809"/>
  <c r="N201" i="32809"/>
  <c r="M201" i="32809"/>
  <c r="L201" i="32809"/>
  <c r="K201" i="32809"/>
  <c r="J201" i="32809"/>
  <c r="I201" i="32809"/>
  <c r="H201" i="32809"/>
  <c r="G201" i="32809"/>
  <c r="F201" i="32809"/>
  <c r="E201" i="32809"/>
  <c r="D201" i="32809"/>
  <c r="C201" i="32809"/>
  <c r="O201" i="32809" s="1"/>
  <c r="N200" i="32809"/>
  <c r="M200" i="32809"/>
  <c r="L200" i="32809"/>
  <c r="K200" i="32809"/>
  <c r="J200" i="32809"/>
  <c r="I200" i="32809"/>
  <c r="H200" i="32809"/>
  <c r="G200" i="32809"/>
  <c r="F200" i="32809"/>
  <c r="E200" i="32809"/>
  <c r="D200" i="32809"/>
  <c r="C200" i="32809"/>
  <c r="O200" i="32809" s="1"/>
  <c r="N199" i="32809"/>
  <c r="M199" i="32809"/>
  <c r="L199" i="32809"/>
  <c r="K199" i="32809"/>
  <c r="J199" i="32809"/>
  <c r="I199" i="32809"/>
  <c r="H199" i="32809"/>
  <c r="G199" i="32809"/>
  <c r="F199" i="32809"/>
  <c r="E199" i="32809"/>
  <c r="D199" i="32809"/>
  <c r="C199" i="32809"/>
  <c r="O199" i="32809" s="1"/>
  <c r="N198" i="32809"/>
  <c r="M198" i="32809"/>
  <c r="L198" i="32809"/>
  <c r="K198" i="32809"/>
  <c r="J198" i="32809"/>
  <c r="I198" i="32809"/>
  <c r="H198" i="32809"/>
  <c r="G198" i="32809"/>
  <c r="F198" i="32809"/>
  <c r="E198" i="32809"/>
  <c r="D198" i="32809"/>
  <c r="C198" i="32809"/>
  <c r="O198" i="32809" s="1"/>
  <c r="N197" i="32809"/>
  <c r="M197" i="32809"/>
  <c r="L197" i="32809"/>
  <c r="K197" i="32809"/>
  <c r="J197" i="32809"/>
  <c r="I197" i="32809"/>
  <c r="H197" i="32809"/>
  <c r="G197" i="32809"/>
  <c r="O197" i="32809" s="1"/>
  <c r="F197" i="32809"/>
  <c r="E197" i="32809"/>
  <c r="D197" i="32809"/>
  <c r="C197" i="32809"/>
  <c r="N196" i="32809"/>
  <c r="M196" i="32809"/>
  <c r="L196" i="32809"/>
  <c r="K196" i="32809"/>
  <c r="J196" i="32809"/>
  <c r="I196" i="32809"/>
  <c r="H196" i="32809"/>
  <c r="G196" i="32809"/>
  <c r="F196" i="32809"/>
  <c r="E196" i="32809"/>
  <c r="D196" i="32809"/>
  <c r="O196" i="32809" s="1"/>
  <c r="C196" i="32809"/>
  <c r="N194" i="32809"/>
  <c r="M194" i="32809"/>
  <c r="L194" i="32809"/>
  <c r="K194" i="32809"/>
  <c r="J194" i="32809"/>
  <c r="I194" i="32809"/>
  <c r="H194" i="32809"/>
  <c r="G194" i="32809"/>
  <c r="F194" i="32809"/>
  <c r="E194" i="32809"/>
  <c r="D194" i="32809"/>
  <c r="O194" i="32809" s="1"/>
  <c r="C194" i="32809"/>
  <c r="N193" i="32809"/>
  <c r="M193" i="32809"/>
  <c r="L193" i="32809"/>
  <c r="K193" i="32809"/>
  <c r="J193" i="32809"/>
  <c r="I193" i="32809"/>
  <c r="H193" i="32809"/>
  <c r="G193" i="32809"/>
  <c r="F193" i="32809"/>
  <c r="O193" i="32809" s="1"/>
  <c r="E193" i="32809"/>
  <c r="D193" i="32809"/>
  <c r="C193" i="32809"/>
  <c r="N192" i="32809"/>
  <c r="M192" i="32809"/>
  <c r="L192" i="32809"/>
  <c r="K192" i="32809"/>
  <c r="J192" i="32809"/>
  <c r="I192" i="32809"/>
  <c r="H192" i="32809"/>
  <c r="G192" i="32809"/>
  <c r="F192" i="32809"/>
  <c r="E192" i="32809"/>
  <c r="D192" i="32809"/>
  <c r="C192" i="32809"/>
  <c r="O192" i="32809" s="1"/>
  <c r="N191" i="32809"/>
  <c r="M191" i="32809"/>
  <c r="L191" i="32809"/>
  <c r="K191" i="32809"/>
  <c r="J191" i="32809"/>
  <c r="I191" i="32809"/>
  <c r="H191" i="32809"/>
  <c r="G191" i="32809"/>
  <c r="F191" i="32809"/>
  <c r="E191" i="32809"/>
  <c r="D191" i="32809"/>
  <c r="C191" i="32809"/>
  <c r="O191" i="32809" s="1"/>
  <c r="N190" i="32809"/>
  <c r="M190" i="32809"/>
  <c r="L190" i="32809"/>
  <c r="K190" i="32809"/>
  <c r="J190" i="32809"/>
  <c r="I190" i="32809"/>
  <c r="H190" i="32809"/>
  <c r="G190" i="32809"/>
  <c r="F190" i="32809"/>
  <c r="E190" i="32809"/>
  <c r="D190" i="32809"/>
  <c r="C190" i="32809"/>
  <c r="O190" i="32809" s="1"/>
  <c r="N189" i="32809"/>
  <c r="M189" i="32809"/>
  <c r="M214" i="32809" s="1"/>
  <c r="M215" i="32809" s="1"/>
  <c r="L189" i="32809"/>
  <c r="K189" i="32809"/>
  <c r="J189" i="32809"/>
  <c r="I189" i="32809"/>
  <c r="H189" i="32809"/>
  <c r="G189" i="32809"/>
  <c r="F189" i="32809"/>
  <c r="E189" i="32809"/>
  <c r="E214" i="32809" s="1"/>
  <c r="E215" i="32809" s="1"/>
  <c r="D189" i="32809"/>
  <c r="C189" i="32809"/>
  <c r="O189" i="32809" s="1"/>
  <c r="N188" i="32809"/>
  <c r="M188" i="32809"/>
  <c r="L188" i="32809"/>
  <c r="K188" i="32809"/>
  <c r="J188" i="32809"/>
  <c r="J214" i="32809" s="1"/>
  <c r="J215" i="32809" s="1"/>
  <c r="J217" i="32809" s="1"/>
  <c r="I188" i="32809"/>
  <c r="H188" i="32809"/>
  <c r="G188" i="32809"/>
  <c r="O188" i="32809" s="1"/>
  <c r="F188" i="32809"/>
  <c r="E188" i="32809"/>
  <c r="D188" i="32809"/>
  <c r="C188" i="32809"/>
  <c r="N186" i="32809"/>
  <c r="M186" i="32809"/>
  <c r="L186" i="32809"/>
  <c r="K186" i="32809"/>
  <c r="J186" i="32809"/>
  <c r="I186" i="32809"/>
  <c r="H186" i="32809"/>
  <c r="H214" i="32809" s="1"/>
  <c r="H215" i="32809" s="1"/>
  <c r="G186" i="32809"/>
  <c r="F186" i="32809"/>
  <c r="E186" i="32809"/>
  <c r="D186" i="32809"/>
  <c r="O186" i="32809" s="1"/>
  <c r="C186" i="32809"/>
  <c r="N185" i="32809"/>
  <c r="M185" i="32809"/>
  <c r="L185" i="32809"/>
  <c r="K185" i="32809"/>
  <c r="J185" i="32809"/>
  <c r="I185" i="32809"/>
  <c r="H185" i="32809"/>
  <c r="G185" i="32809"/>
  <c r="F185" i="32809"/>
  <c r="E185" i="32809"/>
  <c r="D185" i="32809"/>
  <c r="O185" i="32809" s="1"/>
  <c r="C185" i="32809"/>
  <c r="N184" i="32809"/>
  <c r="N214" i="32809" s="1"/>
  <c r="N215" i="32809" s="1"/>
  <c r="M184" i="32809"/>
  <c r="L184" i="32809"/>
  <c r="L214" i="32809" s="1"/>
  <c r="L215" i="32809" s="1"/>
  <c r="L217" i="32809" s="1"/>
  <c r="K184" i="32809"/>
  <c r="K214" i="32809" s="1"/>
  <c r="K215" i="32809" s="1"/>
  <c r="J184" i="32809"/>
  <c r="I184" i="32809"/>
  <c r="I214" i="32809" s="1"/>
  <c r="I215" i="32809" s="1"/>
  <c r="I217" i="32809" s="1"/>
  <c r="H184" i="32809"/>
  <c r="G184" i="32809"/>
  <c r="G214" i="32809" s="1"/>
  <c r="G215" i="32809" s="1"/>
  <c r="G217" i="32809" s="1"/>
  <c r="F184" i="32809"/>
  <c r="O184" i="32809" s="1"/>
  <c r="E184" i="32809"/>
  <c r="D184" i="32809"/>
  <c r="D214" i="32809" s="1"/>
  <c r="D215" i="32809" s="1"/>
  <c r="D217" i="32809" s="1"/>
  <c r="C184" i="32809"/>
  <c r="C214" i="32809" s="1"/>
  <c r="C215" i="32809" s="1"/>
  <c r="C225" i="154"/>
  <c r="D225" i="154" s="1"/>
  <c r="N224" i="154"/>
  <c r="M224" i="154"/>
  <c r="L224" i="154"/>
  <c r="K224" i="154"/>
  <c r="J224" i="154"/>
  <c r="I224" i="154"/>
  <c r="H224" i="154"/>
  <c r="G224" i="154"/>
  <c r="F224" i="154"/>
  <c r="E224" i="154"/>
  <c r="D224" i="154"/>
  <c r="C224" i="154"/>
  <c r="O223" i="154"/>
  <c r="O222" i="154"/>
  <c r="O221" i="154"/>
  <c r="O220" i="154"/>
  <c r="O219" i="154"/>
  <c r="O217" i="154"/>
  <c r="O216" i="154"/>
  <c r="O215" i="154"/>
  <c r="O214" i="154"/>
  <c r="O213" i="154"/>
  <c r="O212" i="154"/>
  <c r="O211" i="154"/>
  <c r="O210" i="154"/>
  <c r="O209" i="154"/>
  <c r="O208" i="154"/>
  <c r="O207" i="154"/>
  <c r="O206" i="154"/>
  <c r="O205" i="154"/>
  <c r="O204" i="154"/>
  <c r="O203" i="154"/>
  <c r="O202" i="154"/>
  <c r="O201" i="154"/>
  <c r="O200" i="154"/>
  <c r="O199" i="154"/>
  <c r="O198" i="154"/>
  <c r="O197" i="154"/>
  <c r="O196" i="154"/>
  <c r="O195" i="154"/>
  <c r="O194" i="154"/>
  <c r="O193" i="154"/>
  <c r="O192" i="154"/>
  <c r="O191" i="154"/>
  <c r="O190" i="154"/>
  <c r="O189" i="154"/>
  <c r="O188" i="154"/>
  <c r="O187" i="154"/>
  <c r="O186" i="154"/>
  <c r="O185" i="154"/>
  <c r="C275" i="154"/>
  <c r="C277" i="154" s="1"/>
  <c r="P274" i="154"/>
  <c r="N274" i="154"/>
  <c r="M274" i="154"/>
  <c r="L274" i="154"/>
  <c r="K274" i="154"/>
  <c r="J274" i="154"/>
  <c r="H274" i="154"/>
  <c r="G274" i="154"/>
  <c r="F274" i="154"/>
  <c r="E274" i="154"/>
  <c r="D274" i="154"/>
  <c r="C274" i="154"/>
  <c r="Q273" i="154"/>
  <c r="O273" i="154"/>
  <c r="Q272" i="154"/>
  <c r="O272" i="154"/>
  <c r="Q271" i="154"/>
  <c r="O271" i="154"/>
  <c r="O270" i="154"/>
  <c r="Q270" i="154" s="1"/>
  <c r="Q269" i="154"/>
  <c r="O269" i="154"/>
  <c r="Q267" i="154"/>
  <c r="O267" i="154"/>
  <c r="Q266" i="154"/>
  <c r="O266" i="154"/>
  <c r="O265" i="154"/>
  <c r="Q265" i="154" s="1"/>
  <c r="Q264" i="154"/>
  <c r="O264" i="154"/>
  <c r="Q263" i="154"/>
  <c r="O263" i="154"/>
  <c r="Q262" i="154"/>
  <c r="O262" i="154"/>
  <c r="O261" i="154"/>
  <c r="Q261" i="154" s="1"/>
  <c r="Q260" i="154"/>
  <c r="O260" i="154"/>
  <c r="Q259" i="154"/>
  <c r="O259" i="154"/>
  <c r="Q258" i="154"/>
  <c r="O258" i="154"/>
  <c r="O257" i="154"/>
  <c r="Q257" i="154" s="1"/>
  <c r="Q256" i="154"/>
  <c r="O256" i="154"/>
  <c r="Q255" i="154"/>
  <c r="O255" i="154"/>
  <c r="Q254" i="154"/>
  <c r="O254" i="154"/>
  <c r="O253" i="154"/>
  <c r="Q253" i="154" s="1"/>
  <c r="Q252" i="154"/>
  <c r="O252" i="154"/>
  <c r="Q251" i="154"/>
  <c r="O251" i="154"/>
  <c r="Q250" i="154"/>
  <c r="O250" i="154"/>
  <c r="O249" i="154"/>
  <c r="Q249" i="154" s="1"/>
  <c r="Q248" i="154"/>
  <c r="O248" i="154"/>
  <c r="Q247" i="154"/>
  <c r="O247" i="154"/>
  <c r="Q246" i="154"/>
  <c r="O246" i="154"/>
  <c r="I245" i="154"/>
  <c r="I274" i="154" s="1"/>
  <c r="O244" i="154"/>
  <c r="Q244" i="154" s="1"/>
  <c r="O243" i="154"/>
  <c r="Q243" i="154" s="1"/>
  <c r="O242" i="154"/>
  <c r="Q242" i="154" s="1"/>
  <c r="O241" i="154"/>
  <c r="Q241" i="154" s="1"/>
  <c r="O240" i="154"/>
  <c r="Q240" i="154" s="1"/>
  <c r="O239" i="154"/>
  <c r="Q239" i="154" s="1"/>
  <c r="O238" i="154"/>
  <c r="Q238" i="154" s="1"/>
  <c r="O237" i="154"/>
  <c r="Q237" i="154" s="1"/>
  <c r="O236" i="154"/>
  <c r="Q236" i="154" s="1"/>
  <c r="O235" i="154"/>
  <c r="K329" i="154"/>
  <c r="L329" i="154" s="1"/>
  <c r="C329" i="154"/>
  <c r="D329" i="154" s="1"/>
  <c r="E329" i="154" s="1"/>
  <c r="F329" i="154" s="1"/>
  <c r="G329" i="154" s="1"/>
  <c r="H329" i="154" s="1"/>
  <c r="I329" i="154" s="1"/>
  <c r="J329" i="154" s="1"/>
  <c r="K326" i="154"/>
  <c r="J326" i="154"/>
  <c r="C325" i="154"/>
  <c r="C327" i="154" s="1"/>
  <c r="N324" i="154"/>
  <c r="M324" i="154"/>
  <c r="L324" i="154"/>
  <c r="K324" i="154"/>
  <c r="J324" i="154"/>
  <c r="I324" i="154"/>
  <c r="H324" i="154"/>
  <c r="G324" i="154"/>
  <c r="F324" i="154"/>
  <c r="E324" i="154"/>
  <c r="D324" i="154"/>
  <c r="C324" i="154"/>
  <c r="O323" i="154"/>
  <c r="O322" i="154"/>
  <c r="O321" i="154"/>
  <c r="O320" i="154"/>
  <c r="O319" i="154"/>
  <c r="O317" i="154"/>
  <c r="O316" i="154"/>
  <c r="O315" i="154"/>
  <c r="O314" i="154"/>
  <c r="O313" i="154"/>
  <c r="O312" i="154"/>
  <c r="O311" i="154"/>
  <c r="O310" i="154"/>
  <c r="O309" i="154"/>
  <c r="O308" i="154"/>
  <c r="O307" i="154"/>
  <c r="O306" i="154"/>
  <c r="O305" i="154"/>
  <c r="O304" i="154"/>
  <c r="O303" i="154"/>
  <c r="O302" i="154"/>
  <c r="O301" i="154"/>
  <c r="O300" i="154"/>
  <c r="O299" i="154"/>
  <c r="O298" i="154"/>
  <c r="O297" i="154"/>
  <c r="O296" i="154"/>
  <c r="O295" i="154"/>
  <c r="O294" i="154"/>
  <c r="O293" i="154"/>
  <c r="O292" i="154"/>
  <c r="O291" i="154"/>
  <c r="O290" i="154"/>
  <c r="O289" i="154"/>
  <c r="O288" i="154"/>
  <c r="O287" i="154"/>
  <c r="O324" i="154" s="1"/>
  <c r="O286" i="154"/>
  <c r="O285" i="154"/>
  <c r="AL15" i="153"/>
  <c r="AL14" i="153"/>
  <c r="AL13" i="153"/>
  <c r="AL12" i="153"/>
  <c r="AL11" i="153"/>
  <c r="AL10" i="153"/>
  <c r="AL9" i="153"/>
  <c r="AL8" i="153"/>
  <c r="AL7" i="153"/>
  <c r="AL6" i="153"/>
  <c r="AL5" i="153"/>
  <c r="AL4" i="153"/>
  <c r="AI17" i="153"/>
  <c r="AJ13" i="153" s="1"/>
  <c r="B17" i="153"/>
  <c r="C11" i="153" s="1"/>
  <c r="C15" i="153"/>
  <c r="BH31" i="164"/>
  <c r="BH32" i="164" s="1"/>
  <c r="BH30" i="164"/>
  <c r="BH69" i="164"/>
  <c r="BH70" i="164" s="1"/>
  <c r="BH68" i="164"/>
  <c r="BK67" i="164"/>
  <c r="BK66" i="164"/>
  <c r="BK65" i="164"/>
  <c r="BK64" i="164"/>
  <c r="BK63" i="164"/>
  <c r="BK62" i="164"/>
  <c r="BK61" i="164"/>
  <c r="BK60" i="164"/>
  <c r="BK59" i="164"/>
  <c r="BK58" i="164"/>
  <c r="BK57" i="164"/>
  <c r="BK56" i="164"/>
  <c r="BK55" i="164"/>
  <c r="BK54" i="164"/>
  <c r="BK53" i="164"/>
  <c r="BK52" i="164"/>
  <c r="BK51" i="164"/>
  <c r="BK50" i="164"/>
  <c r="BK49" i="164"/>
  <c r="BK48" i="164"/>
  <c r="BK47" i="164"/>
  <c r="BK46" i="164"/>
  <c r="BK45" i="164"/>
  <c r="BK44" i="164"/>
  <c r="BK43" i="164"/>
  <c r="BK42" i="164"/>
  <c r="BF29" i="164"/>
  <c r="BH29" i="164" s="1"/>
  <c r="BF28" i="164"/>
  <c r="BH28" i="164" s="1"/>
  <c r="BF67" i="164"/>
  <c r="BH67" i="164" s="1"/>
  <c r="BF66" i="164"/>
  <c r="BH66" i="164" s="1"/>
  <c r="BK27" i="164"/>
  <c r="BK26" i="164"/>
  <c r="BK25" i="164"/>
  <c r="BK24" i="164"/>
  <c r="BK23" i="164"/>
  <c r="BK22" i="164"/>
  <c r="BK21" i="164"/>
  <c r="BK20" i="164"/>
  <c r="BK19" i="164"/>
  <c r="BK18" i="164"/>
  <c r="BL19" i="164" s="1"/>
  <c r="BK17" i="164"/>
  <c r="BK16" i="164"/>
  <c r="BK15" i="164"/>
  <c r="BK14" i="164"/>
  <c r="BK13" i="164"/>
  <c r="BK12" i="164"/>
  <c r="BK11" i="164"/>
  <c r="BK10" i="164"/>
  <c r="BK9" i="164"/>
  <c r="BK8" i="164"/>
  <c r="BK7" i="164"/>
  <c r="BK6" i="164"/>
  <c r="BK5" i="164"/>
  <c r="BK4" i="164"/>
  <c r="H29" i="32810"/>
  <c r="H28" i="32810"/>
  <c r="H27" i="32810"/>
  <c r="H26" i="32810"/>
  <c r="H25" i="32810"/>
  <c r="H24" i="32810"/>
  <c r="H23" i="32810"/>
  <c r="H22" i="32810"/>
  <c r="H21" i="32810"/>
  <c r="H20" i="32810"/>
  <c r="H19" i="32810"/>
  <c r="H18" i="32810"/>
  <c r="H30" i="32810" s="1"/>
  <c r="N9" i="32810"/>
  <c r="O139" i="32809" l="1"/>
  <c r="O138" i="32809"/>
  <c r="O224" i="154"/>
  <c r="D175" i="32809"/>
  <c r="L175" i="32809"/>
  <c r="O172" i="32809"/>
  <c r="D173" i="32809"/>
  <c r="I175" i="32809"/>
  <c r="F172" i="32809"/>
  <c r="F173" i="32809" s="1"/>
  <c r="F175" i="32809" s="1"/>
  <c r="G172" i="32809"/>
  <c r="G173" i="32809" s="1"/>
  <c r="G175" i="32809" s="1"/>
  <c r="O144" i="32809"/>
  <c r="O214" i="32809"/>
  <c r="C217" i="32809"/>
  <c r="K217" i="32809"/>
  <c r="F217" i="32809"/>
  <c r="F214" i="32809"/>
  <c r="F215" i="32809" s="1"/>
  <c r="D227" i="154"/>
  <c r="E225" i="154"/>
  <c r="C227" i="154"/>
  <c r="D275" i="154"/>
  <c r="O245" i="154"/>
  <c r="Q245" i="154" s="1"/>
  <c r="Q235" i="154"/>
  <c r="Q274" i="154" s="1"/>
  <c r="D325" i="154"/>
  <c r="AJ6" i="153"/>
  <c r="AJ7" i="153"/>
  <c r="AJ15" i="153"/>
  <c r="AJ8" i="153"/>
  <c r="AJ14" i="153"/>
  <c r="AJ9" i="153"/>
  <c r="AJ10" i="153"/>
  <c r="AJ11" i="153"/>
  <c r="AJ4" i="153"/>
  <c r="AJ12" i="153"/>
  <c r="AJ5" i="153"/>
  <c r="C14" i="153"/>
  <c r="C4" i="153"/>
  <c r="C5" i="153"/>
  <c r="C12" i="153"/>
  <c r="C13" i="153"/>
  <c r="C6" i="153"/>
  <c r="C7" i="153"/>
  <c r="C8" i="153"/>
  <c r="C9" i="153"/>
  <c r="C10" i="153"/>
  <c r="BL8" i="164"/>
  <c r="BL17" i="164"/>
  <c r="BL6" i="164"/>
  <c r="E227" i="154" l="1"/>
  <c r="F225" i="154"/>
  <c r="D277" i="154"/>
  <c r="E275" i="154"/>
  <c r="O274" i="154"/>
  <c r="E325" i="154"/>
  <c r="D327" i="154"/>
  <c r="N6" i="32808"/>
  <c r="F227" i="154" l="1"/>
  <c r="G225" i="154"/>
  <c r="E277" i="154"/>
  <c r="F275" i="154"/>
  <c r="E327" i="154"/>
  <c r="F325" i="154"/>
  <c r="H225" i="154" l="1"/>
  <c r="G227" i="154"/>
  <c r="F277" i="154"/>
  <c r="G275" i="154"/>
  <c r="F327" i="154"/>
  <c r="G325" i="154"/>
  <c r="BE31" i="164"/>
  <c r="BE69" i="164"/>
  <c r="H227" i="154" l="1"/>
  <c r="I225" i="154"/>
  <c r="H275" i="154"/>
  <c r="G277" i="154"/>
  <c r="H325" i="154"/>
  <c r="G327" i="154"/>
  <c r="BL65" i="164"/>
  <c r="BL63" i="164"/>
  <c r="BL61" i="164"/>
  <c r="BL59" i="164"/>
  <c r="BL57" i="164"/>
  <c r="BL52" i="164"/>
  <c r="BL50" i="164"/>
  <c r="BL48" i="164"/>
  <c r="BL44" i="164"/>
  <c r="BC67" i="164"/>
  <c r="BC66" i="164"/>
  <c r="BC29" i="164"/>
  <c r="BK29" i="164" s="1"/>
  <c r="BC28" i="164"/>
  <c r="J225" i="154" l="1"/>
  <c r="I227" i="154"/>
  <c r="I275" i="154"/>
  <c r="H277" i="154"/>
  <c r="I325" i="154"/>
  <c r="H327" i="154"/>
  <c r="BL46" i="164"/>
  <c r="BL55" i="164"/>
  <c r="BK28" i="164"/>
  <c r="BE30" i="164"/>
  <c r="BE32" i="164" s="1"/>
  <c r="BL67" i="164"/>
  <c r="BE68" i="164"/>
  <c r="BE70" i="164" s="1"/>
  <c r="N105" i="32809"/>
  <c r="M105" i="32809"/>
  <c r="L105" i="32809"/>
  <c r="K105" i="32809"/>
  <c r="J105" i="32809"/>
  <c r="I105" i="32809"/>
  <c r="H105" i="32809"/>
  <c r="G105" i="32809"/>
  <c r="F105" i="32809"/>
  <c r="E105" i="32809"/>
  <c r="D105" i="32809"/>
  <c r="C105" i="32809"/>
  <c r="C6" i="32809"/>
  <c r="K225" i="154" l="1"/>
  <c r="J227" i="154"/>
  <c r="J275" i="154"/>
  <c r="I277" i="154"/>
  <c r="J325" i="154"/>
  <c r="I327" i="154"/>
  <c r="I6" i="32809"/>
  <c r="J6" i="32809"/>
  <c r="K6" i="32809"/>
  <c r="O105" i="32809"/>
  <c r="H6" i="32809"/>
  <c r="D6" i="32809"/>
  <c r="L6" i="32809"/>
  <c r="E6" i="32809"/>
  <c r="M6" i="32809"/>
  <c r="F6" i="32809"/>
  <c r="N6" i="32809"/>
  <c r="G6" i="32809"/>
  <c r="N132" i="32809"/>
  <c r="M132" i="32809"/>
  <c r="L132" i="32809"/>
  <c r="K132" i="32809"/>
  <c r="J132" i="32809"/>
  <c r="I132" i="32809"/>
  <c r="H132" i="32809"/>
  <c r="G132" i="32809"/>
  <c r="F132" i="32809"/>
  <c r="E132" i="32809"/>
  <c r="D132" i="32809"/>
  <c r="C132" i="32809"/>
  <c r="N131" i="32809"/>
  <c r="M131" i="32809"/>
  <c r="M78" i="32809" s="1"/>
  <c r="L131" i="32809"/>
  <c r="L78" i="32809" s="1"/>
  <c r="K131" i="32809"/>
  <c r="K78" i="32809" s="1"/>
  <c r="J131" i="32809"/>
  <c r="I131" i="32809"/>
  <c r="H131" i="32809"/>
  <c r="G131" i="32809"/>
  <c r="G78" i="32809" s="1"/>
  <c r="F131" i="32809"/>
  <c r="E131" i="32809"/>
  <c r="E78" i="32809" s="1"/>
  <c r="D131" i="32809"/>
  <c r="D78" i="32809" s="1"/>
  <c r="C131" i="32809"/>
  <c r="N130" i="32809"/>
  <c r="M130" i="32809"/>
  <c r="L130" i="32809"/>
  <c r="K130" i="32809"/>
  <c r="K81" i="32809" s="1"/>
  <c r="J130" i="32809"/>
  <c r="I130" i="32809"/>
  <c r="H130" i="32809"/>
  <c r="G130" i="32809"/>
  <c r="G81" i="32809" s="1"/>
  <c r="F130" i="32809"/>
  <c r="F81" i="32809" s="1"/>
  <c r="E130" i="32809"/>
  <c r="D130" i="32809"/>
  <c r="C130" i="32809"/>
  <c r="N129" i="32809"/>
  <c r="M129" i="32809"/>
  <c r="L129" i="32809"/>
  <c r="K129" i="32809"/>
  <c r="J129" i="32809"/>
  <c r="I129" i="32809"/>
  <c r="H129" i="32809"/>
  <c r="G129" i="32809"/>
  <c r="F129" i="32809"/>
  <c r="E129" i="32809"/>
  <c r="D129" i="32809"/>
  <c r="C129" i="32809"/>
  <c r="N128" i="32809"/>
  <c r="M128" i="32809"/>
  <c r="L128" i="32809"/>
  <c r="K128" i="32809"/>
  <c r="J128" i="32809"/>
  <c r="I128" i="32809"/>
  <c r="H128" i="32809"/>
  <c r="H75" i="32809" s="1"/>
  <c r="G128" i="32809"/>
  <c r="F128" i="32809"/>
  <c r="E128" i="32809"/>
  <c r="D128" i="32809"/>
  <c r="D75" i="32809" s="1"/>
  <c r="C128" i="32809"/>
  <c r="N127" i="32809"/>
  <c r="M127" i="32809"/>
  <c r="M72" i="32809" s="1"/>
  <c r="L127" i="32809"/>
  <c r="L72" i="32809" s="1"/>
  <c r="K127" i="32809"/>
  <c r="K72" i="32809" s="1"/>
  <c r="J127" i="32809"/>
  <c r="I127" i="32809"/>
  <c r="H127" i="32809"/>
  <c r="G127" i="32809"/>
  <c r="G72" i="32809" s="1"/>
  <c r="F127" i="32809"/>
  <c r="E127" i="32809"/>
  <c r="D127" i="32809"/>
  <c r="D72" i="32809" s="1"/>
  <c r="C127" i="32809"/>
  <c r="N126" i="32809"/>
  <c r="M126" i="32809"/>
  <c r="L126" i="32809"/>
  <c r="K126" i="32809"/>
  <c r="J126" i="32809"/>
  <c r="I126" i="32809"/>
  <c r="H126" i="32809"/>
  <c r="G126" i="32809"/>
  <c r="F126" i="32809"/>
  <c r="E126" i="32809"/>
  <c r="D126" i="32809"/>
  <c r="C126" i="32809"/>
  <c r="N125" i="32809"/>
  <c r="M125" i="32809"/>
  <c r="L125" i="32809"/>
  <c r="K125" i="32809"/>
  <c r="J125" i="32809"/>
  <c r="I125" i="32809"/>
  <c r="H125" i="32809"/>
  <c r="G125" i="32809"/>
  <c r="F125" i="32809"/>
  <c r="E125" i="32809"/>
  <c r="D125" i="32809"/>
  <c r="C125" i="32809"/>
  <c r="N124" i="32809"/>
  <c r="M124" i="32809"/>
  <c r="L124" i="32809"/>
  <c r="K124" i="32809"/>
  <c r="J124" i="32809"/>
  <c r="I124" i="32809"/>
  <c r="H124" i="32809"/>
  <c r="G124" i="32809"/>
  <c r="F124" i="32809"/>
  <c r="E124" i="32809"/>
  <c r="D124" i="32809"/>
  <c r="C124" i="32809"/>
  <c r="N123" i="32809"/>
  <c r="M123" i="32809"/>
  <c r="L123" i="32809"/>
  <c r="K123" i="32809"/>
  <c r="J123" i="32809"/>
  <c r="I123" i="32809"/>
  <c r="H123" i="32809"/>
  <c r="G123" i="32809"/>
  <c r="F123" i="32809"/>
  <c r="E123" i="32809"/>
  <c r="D123" i="32809"/>
  <c r="C123" i="32809"/>
  <c r="N122" i="32809"/>
  <c r="M122" i="32809"/>
  <c r="L122" i="32809"/>
  <c r="K122" i="32809"/>
  <c r="J122" i="32809"/>
  <c r="I122" i="32809"/>
  <c r="H122" i="32809"/>
  <c r="G122" i="32809"/>
  <c r="F122" i="32809"/>
  <c r="E122" i="32809"/>
  <c r="D122" i="32809"/>
  <c r="C122" i="32809"/>
  <c r="N121" i="32809"/>
  <c r="M121" i="32809"/>
  <c r="L121" i="32809"/>
  <c r="K121" i="32809"/>
  <c r="J121" i="32809"/>
  <c r="I121" i="32809"/>
  <c r="H121" i="32809"/>
  <c r="G121" i="32809"/>
  <c r="F121" i="32809"/>
  <c r="E121" i="32809"/>
  <c r="D121" i="32809"/>
  <c r="C121" i="32809"/>
  <c r="N120" i="32809"/>
  <c r="M120" i="32809"/>
  <c r="L120" i="32809"/>
  <c r="K120" i="32809"/>
  <c r="J120" i="32809"/>
  <c r="I120" i="32809"/>
  <c r="H120" i="32809"/>
  <c r="G120" i="32809"/>
  <c r="F120" i="32809"/>
  <c r="E120" i="32809"/>
  <c r="D120" i="32809"/>
  <c r="C120" i="32809"/>
  <c r="N119" i="32809"/>
  <c r="M119" i="32809"/>
  <c r="L119" i="32809"/>
  <c r="K119" i="32809"/>
  <c r="J119" i="32809"/>
  <c r="I119" i="32809"/>
  <c r="H119" i="32809"/>
  <c r="G119" i="32809"/>
  <c r="F119" i="32809"/>
  <c r="E119" i="32809"/>
  <c r="C119" i="32809"/>
  <c r="N118" i="32809"/>
  <c r="M118" i="32809"/>
  <c r="L118" i="32809"/>
  <c r="K118" i="32809"/>
  <c r="J118" i="32809"/>
  <c r="I118" i="32809"/>
  <c r="H118" i="32809"/>
  <c r="G118" i="32809"/>
  <c r="F118" i="32809"/>
  <c r="E118" i="32809"/>
  <c r="D118" i="32809"/>
  <c r="C118" i="32809"/>
  <c r="N117" i="32809"/>
  <c r="M117" i="32809"/>
  <c r="L117" i="32809"/>
  <c r="K117" i="32809"/>
  <c r="J117" i="32809"/>
  <c r="I117" i="32809"/>
  <c r="H117" i="32809"/>
  <c r="G117" i="32809"/>
  <c r="F117" i="32809"/>
  <c r="E117" i="32809"/>
  <c r="C117" i="32809"/>
  <c r="N116" i="32809"/>
  <c r="M116" i="32809"/>
  <c r="L116" i="32809"/>
  <c r="K116" i="32809"/>
  <c r="J116" i="32809"/>
  <c r="I116" i="32809"/>
  <c r="H116" i="32809"/>
  <c r="G116" i="32809"/>
  <c r="F116" i="32809"/>
  <c r="E116" i="32809"/>
  <c r="D116" i="32809"/>
  <c r="C116" i="32809"/>
  <c r="N115" i="32809"/>
  <c r="M115" i="32809"/>
  <c r="L115" i="32809"/>
  <c r="K115" i="32809"/>
  <c r="J115" i="32809"/>
  <c r="I115" i="32809"/>
  <c r="H115" i="32809"/>
  <c r="G115" i="32809"/>
  <c r="F115" i="32809"/>
  <c r="E115" i="32809"/>
  <c r="C115" i="32809"/>
  <c r="N114" i="32809"/>
  <c r="N33" i="32809" s="1"/>
  <c r="M114" i="32809"/>
  <c r="M33" i="32809" s="1"/>
  <c r="L114" i="32809"/>
  <c r="L33" i="32809" s="1"/>
  <c r="K114" i="32809"/>
  <c r="K33" i="32809" s="1"/>
  <c r="J114" i="32809"/>
  <c r="J33" i="32809" s="1"/>
  <c r="I114" i="32809"/>
  <c r="I33" i="32809" s="1"/>
  <c r="H114" i="32809"/>
  <c r="H33" i="32809" s="1"/>
  <c r="G114" i="32809"/>
  <c r="G33" i="32809" s="1"/>
  <c r="F114" i="32809"/>
  <c r="F33" i="32809" s="1"/>
  <c r="E114" i="32809"/>
  <c r="E33" i="32809" s="1"/>
  <c r="D114" i="32809"/>
  <c r="D33" i="32809" s="1"/>
  <c r="C114" i="32809"/>
  <c r="C33" i="32809" s="1"/>
  <c r="N113" i="32809"/>
  <c r="M113" i="32809"/>
  <c r="L113" i="32809"/>
  <c r="K113" i="32809"/>
  <c r="J113" i="32809"/>
  <c r="I113" i="32809"/>
  <c r="H113" i="32809"/>
  <c r="G113" i="32809"/>
  <c r="F113" i="32809"/>
  <c r="E113" i="32809"/>
  <c r="C113" i="32809"/>
  <c r="N112" i="32809"/>
  <c r="M112" i="32809"/>
  <c r="L112" i="32809"/>
  <c r="K112" i="32809"/>
  <c r="J112" i="32809"/>
  <c r="I112" i="32809"/>
  <c r="H112" i="32809"/>
  <c r="G112" i="32809"/>
  <c r="F112" i="32809"/>
  <c r="E112" i="32809"/>
  <c r="D112" i="32809"/>
  <c r="C112" i="32809"/>
  <c r="N111" i="32809"/>
  <c r="M111" i="32809"/>
  <c r="L111" i="32809"/>
  <c r="K111" i="32809"/>
  <c r="J111" i="32809"/>
  <c r="I111" i="32809"/>
  <c r="H111" i="32809"/>
  <c r="G111" i="32809"/>
  <c r="F111" i="32809"/>
  <c r="E111" i="32809"/>
  <c r="C111" i="32809"/>
  <c r="N110" i="32809"/>
  <c r="N21" i="32809" s="1"/>
  <c r="M110" i="32809"/>
  <c r="M21" i="32809" s="1"/>
  <c r="L110" i="32809"/>
  <c r="L21" i="32809" s="1"/>
  <c r="K110" i="32809"/>
  <c r="K21" i="32809" s="1"/>
  <c r="J110" i="32809"/>
  <c r="J21" i="32809" s="1"/>
  <c r="I110" i="32809"/>
  <c r="I21" i="32809" s="1"/>
  <c r="H110" i="32809"/>
  <c r="H21" i="32809" s="1"/>
  <c r="G110" i="32809"/>
  <c r="G21" i="32809" s="1"/>
  <c r="F110" i="32809"/>
  <c r="F21" i="32809" s="1"/>
  <c r="E110" i="32809"/>
  <c r="E21" i="32809" s="1"/>
  <c r="D110" i="32809"/>
  <c r="D21" i="32809" s="1"/>
  <c r="C110" i="32809"/>
  <c r="C21" i="32809" s="1"/>
  <c r="N109" i="32809"/>
  <c r="M109" i="32809"/>
  <c r="L109" i="32809"/>
  <c r="K109" i="32809"/>
  <c r="J109" i="32809"/>
  <c r="I109" i="32809"/>
  <c r="H109" i="32809"/>
  <c r="G109" i="32809"/>
  <c r="F109" i="32809"/>
  <c r="E109" i="32809"/>
  <c r="C109" i="32809"/>
  <c r="N108" i="32809"/>
  <c r="M108" i="32809"/>
  <c r="L108" i="32809"/>
  <c r="K108" i="32809"/>
  <c r="J108" i="32809"/>
  <c r="I108" i="32809"/>
  <c r="H108" i="32809"/>
  <c r="G108" i="32809"/>
  <c r="F108" i="32809"/>
  <c r="E108" i="32809"/>
  <c r="C108" i="32809"/>
  <c r="N107" i="32809"/>
  <c r="M107" i="32809"/>
  <c r="L107" i="32809"/>
  <c r="K107" i="32809"/>
  <c r="J107" i="32809"/>
  <c r="I107" i="32809"/>
  <c r="H107" i="32809"/>
  <c r="G107" i="32809"/>
  <c r="F107" i="32809"/>
  <c r="E107" i="32809"/>
  <c r="C107" i="32809"/>
  <c r="N106" i="32809"/>
  <c r="M106" i="32809"/>
  <c r="L106" i="32809"/>
  <c r="K106" i="32809"/>
  <c r="J106" i="32809"/>
  <c r="I106" i="32809"/>
  <c r="H106" i="32809"/>
  <c r="G106" i="32809"/>
  <c r="F106" i="32809"/>
  <c r="E106" i="32809"/>
  <c r="D106" i="32809"/>
  <c r="C106" i="32809"/>
  <c r="N104" i="32809"/>
  <c r="M104" i="32809"/>
  <c r="L104" i="32809"/>
  <c r="K104" i="32809"/>
  <c r="J104" i="32809"/>
  <c r="I104" i="32809"/>
  <c r="H104" i="32809"/>
  <c r="G104" i="32809"/>
  <c r="F104" i="32809"/>
  <c r="E104" i="32809"/>
  <c r="C104" i="32809"/>
  <c r="N135" i="32809"/>
  <c r="M135" i="32809"/>
  <c r="L135" i="32809"/>
  <c r="K135" i="32809"/>
  <c r="J135" i="32809"/>
  <c r="I135" i="32809"/>
  <c r="H135" i="32809"/>
  <c r="G135" i="32809"/>
  <c r="F135" i="32809"/>
  <c r="E135" i="32809"/>
  <c r="D135" i="32809"/>
  <c r="C135" i="32809"/>
  <c r="AD133" i="32809"/>
  <c r="AD136" i="32809" s="1"/>
  <c r="AC133" i="32809"/>
  <c r="AC136" i="32809" s="1"/>
  <c r="AB133" i="32809"/>
  <c r="AB136" i="32809" s="1"/>
  <c r="AA133" i="32809"/>
  <c r="AA136" i="32809" s="1"/>
  <c r="Z133" i="32809"/>
  <c r="Z136" i="32809" s="1"/>
  <c r="Y133" i="32809"/>
  <c r="Y136" i="32809" s="1"/>
  <c r="X133" i="32809"/>
  <c r="X136" i="32809" s="1"/>
  <c r="W133" i="32809"/>
  <c r="W136" i="32809" s="1"/>
  <c r="V133" i="32809"/>
  <c r="V136" i="32809" s="1"/>
  <c r="U133" i="32809"/>
  <c r="U136" i="32809" s="1"/>
  <c r="T133" i="32809"/>
  <c r="T136" i="32809" s="1"/>
  <c r="S133" i="32809"/>
  <c r="S136" i="32809" s="1"/>
  <c r="N179" i="32809"/>
  <c r="M179" i="32809"/>
  <c r="L179" i="32809"/>
  <c r="K179" i="32809"/>
  <c r="J179" i="32809"/>
  <c r="I179" i="32809"/>
  <c r="H179" i="32809"/>
  <c r="G179" i="32809"/>
  <c r="F179" i="32809"/>
  <c r="E179" i="32809"/>
  <c r="D179" i="32809"/>
  <c r="C179" i="32809"/>
  <c r="K227" i="154" l="1"/>
  <c r="L225" i="154"/>
  <c r="K275" i="154"/>
  <c r="J277" i="154"/>
  <c r="K325" i="154"/>
  <c r="J327" i="154"/>
  <c r="O33" i="32809"/>
  <c r="K34" i="32809" s="1"/>
  <c r="H81" i="32809"/>
  <c r="E72" i="32809"/>
  <c r="I75" i="32809"/>
  <c r="I81" i="32809"/>
  <c r="F72" i="32809"/>
  <c r="N72" i="32809"/>
  <c r="J75" i="32809"/>
  <c r="J81" i="32809"/>
  <c r="F78" i="32809"/>
  <c r="N78" i="32809"/>
  <c r="K75" i="32809"/>
  <c r="H72" i="32809"/>
  <c r="L75" i="32809"/>
  <c r="D81" i="32809"/>
  <c r="L81" i="32809"/>
  <c r="H78" i="32809"/>
  <c r="G75" i="32809"/>
  <c r="I72" i="32809"/>
  <c r="E75" i="32809"/>
  <c r="M75" i="32809"/>
  <c r="E81" i="32809"/>
  <c r="M81" i="32809"/>
  <c r="I78" i="32809"/>
  <c r="J72" i="32809"/>
  <c r="F75" i="32809"/>
  <c r="N75" i="32809"/>
  <c r="N81" i="32809"/>
  <c r="J78" i="32809"/>
  <c r="O6" i="32809"/>
  <c r="J57" i="32809"/>
  <c r="J97" i="32809" s="1"/>
  <c r="F133" i="32809"/>
  <c r="L133" i="32809"/>
  <c r="L134" i="32809" s="1"/>
  <c r="L136" i="32809" s="1"/>
  <c r="K133" i="32809"/>
  <c r="D133" i="32809"/>
  <c r="J133" i="32809"/>
  <c r="J134" i="32809" s="1"/>
  <c r="J136" i="32809" s="1"/>
  <c r="O109" i="32809"/>
  <c r="O110" i="32809"/>
  <c r="O114" i="32809"/>
  <c r="O115" i="32809"/>
  <c r="O125" i="32809"/>
  <c r="O106" i="32809"/>
  <c r="O112" i="32809"/>
  <c r="O117" i="32809"/>
  <c r="O121" i="32809"/>
  <c r="O126" i="32809"/>
  <c r="O127" i="32809"/>
  <c r="I133" i="32809"/>
  <c r="O107" i="32809"/>
  <c r="O119" i="32809"/>
  <c r="G133" i="32809"/>
  <c r="O108" i="32809"/>
  <c r="O118" i="32809"/>
  <c r="O122" i="32809"/>
  <c r="O124" i="32809"/>
  <c r="N133" i="32809"/>
  <c r="O123" i="32809"/>
  <c r="O131" i="32809"/>
  <c r="H133" i="32809"/>
  <c r="O128" i="32809"/>
  <c r="O129" i="32809"/>
  <c r="O130" i="32809"/>
  <c r="O104" i="32809"/>
  <c r="O113" i="32809"/>
  <c r="E133" i="32809"/>
  <c r="M133" i="32809"/>
  <c r="O111" i="32809"/>
  <c r="O116" i="32809"/>
  <c r="O120" i="32809"/>
  <c r="O132" i="32809"/>
  <c r="C133" i="32809"/>
  <c r="C134" i="32809" s="1"/>
  <c r="O179" i="32809"/>
  <c r="N84" i="32809"/>
  <c r="M84" i="32809"/>
  <c r="L84" i="32809"/>
  <c r="K84" i="32809"/>
  <c r="J84" i="32809"/>
  <c r="I84" i="32809"/>
  <c r="H84" i="32809"/>
  <c r="G84" i="32809"/>
  <c r="F84" i="32809"/>
  <c r="E84" i="32809"/>
  <c r="D84" i="32809"/>
  <c r="C84" i="32809"/>
  <c r="C81" i="32809"/>
  <c r="C78" i="32809"/>
  <c r="C75" i="32809"/>
  <c r="C72" i="32809"/>
  <c r="N69" i="32809"/>
  <c r="M69" i="32809"/>
  <c r="L69" i="32809"/>
  <c r="K69" i="32809"/>
  <c r="J69" i="32809"/>
  <c r="I69" i="32809"/>
  <c r="H69" i="32809"/>
  <c r="G69" i="32809"/>
  <c r="F69" i="32809"/>
  <c r="E69" i="32809"/>
  <c r="D69" i="32809"/>
  <c r="C69" i="32809"/>
  <c r="N66" i="32809"/>
  <c r="M66" i="32809"/>
  <c r="L66" i="32809"/>
  <c r="K66" i="32809"/>
  <c r="J66" i="32809"/>
  <c r="I66" i="32809"/>
  <c r="H66" i="32809"/>
  <c r="G66" i="32809"/>
  <c r="F66" i="32809"/>
  <c r="E66" i="32809"/>
  <c r="D66" i="32809"/>
  <c r="C66" i="32809"/>
  <c r="N63" i="32809"/>
  <c r="M63" i="32809"/>
  <c r="L63" i="32809"/>
  <c r="K63" i="32809"/>
  <c r="J63" i="32809"/>
  <c r="I63" i="32809"/>
  <c r="H63" i="32809"/>
  <c r="G63" i="32809"/>
  <c r="F63" i="32809"/>
  <c r="E63" i="32809"/>
  <c r="D63" i="32809"/>
  <c r="C63" i="32809"/>
  <c r="N60" i="32809"/>
  <c r="M60" i="32809"/>
  <c r="L60" i="32809"/>
  <c r="K60" i="32809"/>
  <c r="J60" i="32809"/>
  <c r="I60" i="32809"/>
  <c r="H60" i="32809"/>
  <c r="G60" i="32809"/>
  <c r="F60" i="32809"/>
  <c r="E60" i="32809"/>
  <c r="D60" i="32809"/>
  <c r="C60" i="32809"/>
  <c r="N57" i="32809"/>
  <c r="N97" i="32809" s="1"/>
  <c r="M57" i="32809"/>
  <c r="M97" i="32809" s="1"/>
  <c r="L57" i="32809"/>
  <c r="L97" i="32809" s="1"/>
  <c r="K57" i="32809"/>
  <c r="K97" i="32809" s="1"/>
  <c r="I57" i="32809"/>
  <c r="I97" i="32809" s="1"/>
  <c r="H57" i="32809"/>
  <c r="H97" i="32809" s="1"/>
  <c r="G57" i="32809"/>
  <c r="G97" i="32809" s="1"/>
  <c r="F57" i="32809"/>
  <c r="F97" i="32809" s="1"/>
  <c r="E57" i="32809"/>
  <c r="E97" i="32809" s="1"/>
  <c r="D57" i="32809"/>
  <c r="D97" i="32809" s="1"/>
  <c r="C57" i="32809"/>
  <c r="C97" i="32809" s="1"/>
  <c r="N54" i="32809"/>
  <c r="M54" i="32809"/>
  <c r="M95" i="32809" s="1"/>
  <c r="L54" i="32809"/>
  <c r="L95" i="32809" s="1"/>
  <c r="K54" i="32809"/>
  <c r="K95" i="32809" s="1"/>
  <c r="J54" i="32809"/>
  <c r="J95" i="32809" s="1"/>
  <c r="I54" i="32809"/>
  <c r="I95" i="32809" s="1"/>
  <c r="H54" i="32809"/>
  <c r="G54" i="32809"/>
  <c r="G95" i="32809" s="1"/>
  <c r="F54" i="32809"/>
  <c r="E54" i="32809"/>
  <c r="E95" i="32809" s="1"/>
  <c r="D54" i="32809"/>
  <c r="D95" i="32809" s="1"/>
  <c r="C54" i="32809"/>
  <c r="N51" i="32809"/>
  <c r="M51" i="32809"/>
  <c r="L51" i="32809"/>
  <c r="K51" i="32809"/>
  <c r="J51" i="32809"/>
  <c r="I51" i="32809"/>
  <c r="H51" i="32809"/>
  <c r="G51" i="32809"/>
  <c r="F51" i="32809"/>
  <c r="E51" i="32809"/>
  <c r="D51" i="32809"/>
  <c r="C51" i="32809"/>
  <c r="N48" i="32809"/>
  <c r="M48" i="32809"/>
  <c r="L48" i="32809"/>
  <c r="K48" i="32809"/>
  <c r="J48" i="32809"/>
  <c r="I48" i="32809"/>
  <c r="H48" i="32809"/>
  <c r="G48" i="32809"/>
  <c r="F48" i="32809"/>
  <c r="E48" i="32809"/>
  <c r="D48" i="32809"/>
  <c r="C48" i="32809"/>
  <c r="N45" i="32809"/>
  <c r="M45" i="32809"/>
  <c r="L45" i="32809"/>
  <c r="K45" i="32809"/>
  <c r="J45" i="32809"/>
  <c r="I45" i="32809"/>
  <c r="H45" i="32809"/>
  <c r="G45" i="32809"/>
  <c r="F45" i="32809"/>
  <c r="E45" i="32809"/>
  <c r="D45" i="32809"/>
  <c r="C45" i="32809"/>
  <c r="N42" i="32809"/>
  <c r="M42" i="32809"/>
  <c r="L42" i="32809"/>
  <c r="K42" i="32809"/>
  <c r="J42" i="32809"/>
  <c r="I42" i="32809"/>
  <c r="H42" i="32809"/>
  <c r="G42" i="32809"/>
  <c r="F42" i="32809"/>
  <c r="E42" i="32809"/>
  <c r="D42" i="32809"/>
  <c r="C42" i="32809"/>
  <c r="N39" i="32809"/>
  <c r="M39" i="32809"/>
  <c r="L39" i="32809"/>
  <c r="K39" i="32809"/>
  <c r="J39" i="32809"/>
  <c r="I39" i="32809"/>
  <c r="H39" i="32809"/>
  <c r="G39" i="32809"/>
  <c r="F39" i="32809"/>
  <c r="E39" i="32809"/>
  <c r="D39" i="32809"/>
  <c r="C39" i="32809"/>
  <c r="N36" i="32809"/>
  <c r="M36" i="32809"/>
  <c r="L36" i="32809"/>
  <c r="K36" i="32809"/>
  <c r="J36" i="32809"/>
  <c r="I36" i="32809"/>
  <c r="H36" i="32809"/>
  <c r="G36" i="32809"/>
  <c r="F36" i="32809"/>
  <c r="E36" i="32809"/>
  <c r="D36" i="32809"/>
  <c r="C36" i="32809"/>
  <c r="N30" i="32809"/>
  <c r="M30" i="32809"/>
  <c r="L30" i="32809"/>
  <c r="K30" i="32809"/>
  <c r="J30" i="32809"/>
  <c r="I30" i="32809"/>
  <c r="H30" i="32809"/>
  <c r="G30" i="32809"/>
  <c r="F30" i="32809"/>
  <c r="E30" i="32809"/>
  <c r="D30" i="32809"/>
  <c r="C30" i="32809"/>
  <c r="N27" i="32809"/>
  <c r="M27" i="32809"/>
  <c r="L27" i="32809"/>
  <c r="K27" i="32809"/>
  <c r="J27" i="32809"/>
  <c r="I27" i="32809"/>
  <c r="H27" i="32809"/>
  <c r="G27" i="32809"/>
  <c r="F27" i="32809"/>
  <c r="E27" i="32809"/>
  <c r="D27" i="32809"/>
  <c r="C27" i="32809"/>
  <c r="N24" i="32809"/>
  <c r="N93" i="32809" s="1"/>
  <c r="M24" i="32809"/>
  <c r="L24" i="32809"/>
  <c r="L93" i="32809" s="1"/>
  <c r="K24" i="32809"/>
  <c r="K93" i="32809" s="1"/>
  <c r="J24" i="32809"/>
  <c r="J93" i="32809" s="1"/>
  <c r="I24" i="32809"/>
  <c r="I93" i="32809" s="1"/>
  <c r="H24" i="32809"/>
  <c r="G24" i="32809"/>
  <c r="F24" i="32809"/>
  <c r="F93" i="32809" s="1"/>
  <c r="E24" i="32809"/>
  <c r="D24" i="32809"/>
  <c r="D93" i="32809" s="1"/>
  <c r="C24" i="32809"/>
  <c r="C93" i="32809" s="1"/>
  <c r="N18" i="32809"/>
  <c r="M18" i="32809"/>
  <c r="L18" i="32809"/>
  <c r="K18" i="32809"/>
  <c r="J18" i="32809"/>
  <c r="I18" i="32809"/>
  <c r="H18" i="32809"/>
  <c r="G18" i="32809"/>
  <c r="F18" i="32809"/>
  <c r="E18" i="32809"/>
  <c r="D18" i="32809"/>
  <c r="C18" i="32809"/>
  <c r="N15" i="32809"/>
  <c r="M15" i="32809"/>
  <c r="L15" i="32809"/>
  <c r="K15" i="32809"/>
  <c r="J15" i="32809"/>
  <c r="I15" i="32809"/>
  <c r="H15" i="32809"/>
  <c r="G15" i="32809"/>
  <c r="F15" i="32809"/>
  <c r="E15" i="32809"/>
  <c r="D15" i="32809"/>
  <c r="C15" i="32809"/>
  <c r="N12" i="32809"/>
  <c r="M12" i="32809"/>
  <c r="L12" i="32809"/>
  <c r="K12" i="32809"/>
  <c r="J12" i="32809"/>
  <c r="I12" i="32809"/>
  <c r="H12" i="32809"/>
  <c r="G12" i="32809"/>
  <c r="F12" i="32809"/>
  <c r="E12" i="32809"/>
  <c r="D12" i="32809"/>
  <c r="C12" i="32809"/>
  <c r="N9" i="32809"/>
  <c r="M9" i="32809"/>
  <c r="L9" i="32809"/>
  <c r="K9" i="32809"/>
  <c r="J9" i="32809"/>
  <c r="I9" i="32809"/>
  <c r="H9" i="32809"/>
  <c r="G9" i="32809"/>
  <c r="F9" i="32809"/>
  <c r="E9" i="32809"/>
  <c r="D9" i="32809"/>
  <c r="C9" i="32809"/>
  <c r="N3" i="32809"/>
  <c r="M3" i="32809"/>
  <c r="L3" i="32809"/>
  <c r="K3" i="32809"/>
  <c r="J3" i="32809"/>
  <c r="I3" i="32809"/>
  <c r="I91" i="32809" s="1"/>
  <c r="H3" i="32809"/>
  <c r="H91" i="32809" s="1"/>
  <c r="G3" i="32809"/>
  <c r="F3" i="32809"/>
  <c r="E3" i="32809"/>
  <c r="D3" i="32809"/>
  <c r="C3" i="32809"/>
  <c r="O1" i="32809"/>
  <c r="P224" i="154"/>
  <c r="Q206" i="154"/>
  <c r="Q223" i="154"/>
  <c r="Q222" i="154"/>
  <c r="Q221" i="154"/>
  <c r="Q220" i="154"/>
  <c r="Q219" i="154"/>
  <c r="Q217" i="154"/>
  <c r="Q216" i="154"/>
  <c r="Q215" i="154"/>
  <c r="Q214" i="154"/>
  <c r="Q213" i="154"/>
  <c r="Q212" i="154"/>
  <c r="Q211" i="154"/>
  <c r="Q210" i="154"/>
  <c r="Q209" i="154"/>
  <c r="Q208" i="154"/>
  <c r="Q207" i="154"/>
  <c r="Q205" i="154"/>
  <c r="Q204" i="154"/>
  <c r="Q203" i="154"/>
  <c r="Q202" i="154"/>
  <c r="Q201" i="154"/>
  <c r="Q200" i="154"/>
  <c r="Q199" i="154"/>
  <c r="Q198" i="154"/>
  <c r="Q197" i="154"/>
  <c r="Q196" i="154"/>
  <c r="Q195" i="154"/>
  <c r="Q194" i="154"/>
  <c r="Q193" i="154"/>
  <c r="Q192" i="154"/>
  <c r="Q191" i="154"/>
  <c r="Q190" i="154"/>
  <c r="Q189" i="154"/>
  <c r="Q188" i="154"/>
  <c r="Q187" i="154"/>
  <c r="Q186" i="154"/>
  <c r="Q185" i="154"/>
  <c r="N3" i="154"/>
  <c r="M3" i="154"/>
  <c r="L3" i="154"/>
  <c r="K3" i="154"/>
  <c r="J3" i="154"/>
  <c r="I3" i="154"/>
  <c r="H3" i="154"/>
  <c r="G3" i="154"/>
  <c r="F3" i="154"/>
  <c r="E3" i="154"/>
  <c r="D3" i="154"/>
  <c r="N6" i="154"/>
  <c r="M6" i="154"/>
  <c r="L6" i="154"/>
  <c r="K6" i="154"/>
  <c r="J6" i="154"/>
  <c r="I6" i="154"/>
  <c r="H6" i="154"/>
  <c r="G6" i="154"/>
  <c r="F6" i="154"/>
  <c r="E6" i="154"/>
  <c r="D6" i="154"/>
  <c r="N9" i="154"/>
  <c r="M9" i="154"/>
  <c r="L9" i="154"/>
  <c r="K9" i="154"/>
  <c r="J9" i="154"/>
  <c r="I9" i="154"/>
  <c r="H9" i="154"/>
  <c r="G9" i="154"/>
  <c r="F9" i="154"/>
  <c r="E9" i="154"/>
  <c r="D9" i="154"/>
  <c r="N12" i="154"/>
  <c r="M12" i="154"/>
  <c r="L12" i="154"/>
  <c r="K12" i="154"/>
  <c r="J12" i="154"/>
  <c r="I12" i="154"/>
  <c r="H12" i="154"/>
  <c r="G12" i="154"/>
  <c r="F12" i="154"/>
  <c r="E12" i="154"/>
  <c r="D12" i="154"/>
  <c r="N15" i="154"/>
  <c r="M15" i="154"/>
  <c r="L15" i="154"/>
  <c r="K15" i="154"/>
  <c r="J15" i="154"/>
  <c r="I15" i="154"/>
  <c r="H15" i="154"/>
  <c r="G15" i="154"/>
  <c r="F15" i="154"/>
  <c r="E15" i="154"/>
  <c r="D15" i="154"/>
  <c r="N18" i="154"/>
  <c r="M18" i="154"/>
  <c r="L18" i="154"/>
  <c r="K18" i="154"/>
  <c r="J18" i="154"/>
  <c r="I18" i="154"/>
  <c r="H18" i="154"/>
  <c r="G18" i="154"/>
  <c r="F18" i="154"/>
  <c r="E18" i="154"/>
  <c r="D18" i="154"/>
  <c r="N21" i="154"/>
  <c r="M21" i="154"/>
  <c r="L21" i="154"/>
  <c r="K21" i="154"/>
  <c r="J21" i="154"/>
  <c r="I21" i="154"/>
  <c r="H21" i="154"/>
  <c r="G21" i="154"/>
  <c r="F21" i="154"/>
  <c r="E21" i="154"/>
  <c r="D21" i="154"/>
  <c r="N24" i="154"/>
  <c r="M24" i="154"/>
  <c r="L24" i="154"/>
  <c r="K24" i="154"/>
  <c r="J24" i="154"/>
  <c r="I24" i="154"/>
  <c r="H24" i="154"/>
  <c r="G24" i="154"/>
  <c r="F24" i="154"/>
  <c r="E24" i="154"/>
  <c r="D24" i="154"/>
  <c r="N27" i="154"/>
  <c r="M27" i="154"/>
  <c r="L27" i="154"/>
  <c r="K27" i="154"/>
  <c r="J27" i="154"/>
  <c r="I27" i="154"/>
  <c r="H27" i="154"/>
  <c r="G27" i="154"/>
  <c r="F27" i="154"/>
  <c r="E27" i="154"/>
  <c r="D27" i="154"/>
  <c r="N30" i="154"/>
  <c r="N126" i="154" s="1"/>
  <c r="M30" i="154"/>
  <c r="M126" i="154" s="1"/>
  <c r="L30" i="154"/>
  <c r="L126" i="154" s="1"/>
  <c r="K30" i="154"/>
  <c r="K126" i="154" s="1"/>
  <c r="J30" i="154"/>
  <c r="J126" i="154" s="1"/>
  <c r="I30" i="154"/>
  <c r="I126" i="154" s="1"/>
  <c r="H30" i="154"/>
  <c r="H126" i="154" s="1"/>
  <c r="G30" i="154"/>
  <c r="G126" i="154" s="1"/>
  <c r="F30" i="154"/>
  <c r="F126" i="154" s="1"/>
  <c r="E30" i="154"/>
  <c r="E126" i="154" s="1"/>
  <c r="D30" i="154"/>
  <c r="N33" i="154"/>
  <c r="M33" i="154"/>
  <c r="L33" i="154"/>
  <c r="K33" i="154"/>
  <c r="J33" i="154"/>
  <c r="I33" i="154"/>
  <c r="H33" i="154"/>
  <c r="G33" i="154"/>
  <c r="F33" i="154"/>
  <c r="E33" i="154"/>
  <c r="D33" i="154"/>
  <c r="N36" i="154"/>
  <c r="M36" i="154"/>
  <c r="L36" i="154"/>
  <c r="K36" i="154"/>
  <c r="J36" i="154"/>
  <c r="I36" i="154"/>
  <c r="H36" i="154"/>
  <c r="G36" i="154"/>
  <c r="F36" i="154"/>
  <c r="E36" i="154"/>
  <c r="D36" i="154"/>
  <c r="C36" i="154"/>
  <c r="N39" i="154"/>
  <c r="M39" i="154"/>
  <c r="L39" i="154"/>
  <c r="K39" i="154"/>
  <c r="J39" i="154"/>
  <c r="I39" i="154"/>
  <c r="H39" i="154"/>
  <c r="G39" i="154"/>
  <c r="F39" i="154"/>
  <c r="E39" i="154"/>
  <c r="D39" i="154"/>
  <c r="N42" i="154"/>
  <c r="M42" i="154"/>
  <c r="L42" i="154"/>
  <c r="K42" i="154"/>
  <c r="J42" i="154"/>
  <c r="I42" i="154"/>
  <c r="H42" i="154"/>
  <c r="G42" i="154"/>
  <c r="F42" i="154"/>
  <c r="E42" i="154"/>
  <c r="D42" i="154"/>
  <c r="N45" i="154"/>
  <c r="M45" i="154"/>
  <c r="L45" i="154"/>
  <c r="K45" i="154"/>
  <c r="J45" i="154"/>
  <c r="I45" i="154"/>
  <c r="H45" i="154"/>
  <c r="G45" i="154"/>
  <c r="F45" i="154"/>
  <c r="E45" i="154"/>
  <c r="D45" i="154"/>
  <c r="N48" i="154"/>
  <c r="M48" i="154"/>
  <c r="L48" i="154"/>
  <c r="K48" i="154"/>
  <c r="J48" i="154"/>
  <c r="I48" i="154"/>
  <c r="H48" i="154"/>
  <c r="G48" i="154"/>
  <c r="F48" i="154"/>
  <c r="E48" i="154"/>
  <c r="D48" i="154"/>
  <c r="N51" i="154"/>
  <c r="M51" i="154"/>
  <c r="L51" i="154"/>
  <c r="K51" i="154"/>
  <c r="J51" i="154"/>
  <c r="I51" i="154"/>
  <c r="H51" i="154"/>
  <c r="G51" i="154"/>
  <c r="F51" i="154"/>
  <c r="E51" i="154"/>
  <c r="D51" i="154"/>
  <c r="N54" i="154"/>
  <c r="M54" i="154"/>
  <c r="L54" i="154"/>
  <c r="K54" i="154"/>
  <c r="J54" i="154"/>
  <c r="I54" i="154"/>
  <c r="H54" i="154"/>
  <c r="G54" i="154"/>
  <c r="F54" i="154"/>
  <c r="E54" i="154"/>
  <c r="D54" i="154"/>
  <c r="N57" i="154"/>
  <c r="M57" i="154"/>
  <c r="L57" i="154"/>
  <c r="K57" i="154"/>
  <c r="J57" i="154"/>
  <c r="I57" i="154"/>
  <c r="H57" i="154"/>
  <c r="G57" i="154"/>
  <c r="F57" i="154"/>
  <c r="E57" i="154"/>
  <c r="D57" i="154"/>
  <c r="N60" i="154"/>
  <c r="M60" i="154"/>
  <c r="L60" i="154"/>
  <c r="K60" i="154"/>
  <c r="J60" i="154"/>
  <c r="I60" i="154"/>
  <c r="H60" i="154"/>
  <c r="G60" i="154"/>
  <c r="F60" i="154"/>
  <c r="E60" i="154"/>
  <c r="D60" i="154"/>
  <c r="N63" i="154"/>
  <c r="M63" i="154"/>
  <c r="L63" i="154"/>
  <c r="K63" i="154"/>
  <c r="J63" i="154"/>
  <c r="I63" i="154"/>
  <c r="H63" i="154"/>
  <c r="G63" i="154"/>
  <c r="F63" i="154"/>
  <c r="E63" i="154"/>
  <c r="D63" i="154"/>
  <c r="N66" i="154"/>
  <c r="M66" i="154"/>
  <c r="L66" i="154"/>
  <c r="K66" i="154"/>
  <c r="J66" i="154"/>
  <c r="I66" i="154"/>
  <c r="H66" i="154"/>
  <c r="G66" i="154"/>
  <c r="F66" i="154"/>
  <c r="E66" i="154"/>
  <c r="D66" i="154"/>
  <c r="N69" i="154"/>
  <c r="M69" i="154"/>
  <c r="L69" i="154"/>
  <c r="K69" i="154"/>
  <c r="J69" i="154"/>
  <c r="I69" i="154"/>
  <c r="H69" i="154"/>
  <c r="G69" i="154"/>
  <c r="F69" i="154"/>
  <c r="E69" i="154"/>
  <c r="D69" i="154"/>
  <c r="N72" i="154"/>
  <c r="M72" i="154"/>
  <c r="L72" i="154"/>
  <c r="K72" i="154"/>
  <c r="J72" i="154"/>
  <c r="I72" i="154"/>
  <c r="H72" i="154"/>
  <c r="G72" i="154"/>
  <c r="F72" i="154"/>
  <c r="E72" i="154"/>
  <c r="D72" i="154"/>
  <c r="N75" i="154"/>
  <c r="M75" i="154"/>
  <c r="L75" i="154"/>
  <c r="K75" i="154"/>
  <c r="J75" i="154"/>
  <c r="I75" i="154"/>
  <c r="H75" i="154"/>
  <c r="G75" i="154"/>
  <c r="F75" i="154"/>
  <c r="E75" i="154"/>
  <c r="D75" i="154"/>
  <c r="N78" i="154"/>
  <c r="M78" i="154"/>
  <c r="L78" i="154"/>
  <c r="K78" i="154"/>
  <c r="J78" i="154"/>
  <c r="I78" i="154"/>
  <c r="H78" i="154"/>
  <c r="G78" i="154"/>
  <c r="F78" i="154"/>
  <c r="E78" i="154"/>
  <c r="D78" i="154"/>
  <c r="N81" i="154"/>
  <c r="N128" i="154" s="1"/>
  <c r="M81" i="154"/>
  <c r="M128" i="154" s="1"/>
  <c r="L81" i="154"/>
  <c r="L128" i="154" s="1"/>
  <c r="K81" i="154"/>
  <c r="K128" i="154" s="1"/>
  <c r="J81" i="154"/>
  <c r="J128" i="154" s="1"/>
  <c r="I81" i="154"/>
  <c r="I128" i="154" s="1"/>
  <c r="H81" i="154"/>
  <c r="H128" i="154" s="1"/>
  <c r="G81" i="154"/>
  <c r="G128" i="154" s="1"/>
  <c r="F81" i="154"/>
  <c r="F128" i="154" s="1"/>
  <c r="E81" i="154"/>
  <c r="E128" i="154" s="1"/>
  <c r="D81" i="154"/>
  <c r="D128" i="154" s="1"/>
  <c r="N84" i="154"/>
  <c r="M84" i="154"/>
  <c r="L84" i="154"/>
  <c r="K84" i="154"/>
  <c r="J84" i="154"/>
  <c r="I84" i="154"/>
  <c r="H84" i="154"/>
  <c r="G84" i="154"/>
  <c r="F84" i="154"/>
  <c r="E84" i="154"/>
  <c r="D84" i="154"/>
  <c r="N87" i="154"/>
  <c r="M87" i="154"/>
  <c r="L87" i="154"/>
  <c r="K87" i="154"/>
  <c r="J87" i="154"/>
  <c r="I87" i="154"/>
  <c r="H87" i="154"/>
  <c r="G87" i="154"/>
  <c r="F87" i="154"/>
  <c r="E87" i="154"/>
  <c r="D87" i="154"/>
  <c r="N90" i="154"/>
  <c r="M90" i="154"/>
  <c r="L90" i="154"/>
  <c r="K90" i="154"/>
  <c r="J90" i="154"/>
  <c r="I90" i="154"/>
  <c r="H90" i="154"/>
  <c r="G90" i="154"/>
  <c r="F90" i="154"/>
  <c r="E90" i="154"/>
  <c r="D90" i="154"/>
  <c r="N93" i="154"/>
  <c r="M93" i="154"/>
  <c r="L93" i="154"/>
  <c r="K93" i="154"/>
  <c r="J93" i="154"/>
  <c r="I93" i="154"/>
  <c r="H93" i="154"/>
  <c r="G93" i="154"/>
  <c r="F93" i="154"/>
  <c r="E93" i="154"/>
  <c r="D93" i="154"/>
  <c r="N96" i="154"/>
  <c r="M96" i="154"/>
  <c r="L96" i="154"/>
  <c r="K96" i="154"/>
  <c r="J96" i="154"/>
  <c r="I96" i="154"/>
  <c r="H96" i="154"/>
  <c r="G96" i="154"/>
  <c r="F96" i="154"/>
  <c r="E96" i="154"/>
  <c r="D96" i="154"/>
  <c r="N99" i="154"/>
  <c r="M99" i="154"/>
  <c r="L99" i="154"/>
  <c r="K99" i="154"/>
  <c r="J99" i="154"/>
  <c r="I99" i="154"/>
  <c r="H99" i="154"/>
  <c r="G99" i="154"/>
  <c r="F99" i="154"/>
  <c r="E99" i="154"/>
  <c r="D99" i="154"/>
  <c r="N102" i="154"/>
  <c r="M102" i="154"/>
  <c r="L102" i="154"/>
  <c r="K102" i="154"/>
  <c r="J102" i="154"/>
  <c r="I102" i="154"/>
  <c r="H102" i="154"/>
  <c r="G102" i="154"/>
  <c r="F102" i="154"/>
  <c r="E102" i="154"/>
  <c r="D102" i="154"/>
  <c r="N105" i="154"/>
  <c r="M105" i="154"/>
  <c r="L105" i="154"/>
  <c r="K105" i="154"/>
  <c r="J105" i="154"/>
  <c r="I105" i="154"/>
  <c r="H105" i="154"/>
  <c r="G105" i="154"/>
  <c r="F105" i="154"/>
  <c r="E105" i="154"/>
  <c r="N108" i="154"/>
  <c r="M108" i="154"/>
  <c r="L108" i="154"/>
  <c r="K108" i="154"/>
  <c r="J108" i="154"/>
  <c r="I108" i="154"/>
  <c r="H108" i="154"/>
  <c r="G108" i="154"/>
  <c r="F108" i="154"/>
  <c r="E108" i="154"/>
  <c r="N111" i="154"/>
  <c r="M111" i="154"/>
  <c r="L111" i="154"/>
  <c r="K111" i="154"/>
  <c r="J111" i="154"/>
  <c r="I111" i="154"/>
  <c r="H111" i="154"/>
  <c r="G111" i="154"/>
  <c r="F111" i="154"/>
  <c r="E111" i="154"/>
  <c r="N114" i="154"/>
  <c r="M114" i="154"/>
  <c r="L114" i="154"/>
  <c r="K114" i="154"/>
  <c r="J114" i="154"/>
  <c r="I114" i="154"/>
  <c r="H114" i="154"/>
  <c r="G114" i="154"/>
  <c r="F114" i="154"/>
  <c r="E114" i="154"/>
  <c r="N117" i="154"/>
  <c r="M117" i="154"/>
  <c r="L117" i="154"/>
  <c r="K117" i="154"/>
  <c r="J117" i="154"/>
  <c r="I117" i="154"/>
  <c r="H117" i="154"/>
  <c r="G117" i="154"/>
  <c r="F117" i="154"/>
  <c r="E117" i="154"/>
  <c r="D117" i="154"/>
  <c r="C117" i="154"/>
  <c r="C114" i="154"/>
  <c r="C111" i="154"/>
  <c r="C108" i="154"/>
  <c r="C105" i="154"/>
  <c r="C102" i="154"/>
  <c r="C99" i="154"/>
  <c r="C96" i="154"/>
  <c r="C93" i="154"/>
  <c r="C90" i="154"/>
  <c r="C87" i="154"/>
  <c r="C84" i="154"/>
  <c r="C81" i="154"/>
  <c r="C128" i="154" s="1"/>
  <c r="C78" i="154"/>
  <c r="C75" i="154"/>
  <c r="C72" i="154"/>
  <c r="C69" i="154"/>
  <c r="C66" i="154"/>
  <c r="C63" i="154"/>
  <c r="C60" i="154"/>
  <c r="C57" i="154"/>
  <c r="C54" i="154"/>
  <c r="C51" i="154"/>
  <c r="C48" i="154"/>
  <c r="C45" i="154"/>
  <c r="C42" i="154"/>
  <c r="C39" i="154"/>
  <c r="C33" i="154"/>
  <c r="C30" i="154"/>
  <c r="C126" i="154" s="1"/>
  <c r="C27" i="154"/>
  <c r="C24" i="154"/>
  <c r="C130" i="154" s="1"/>
  <c r="C21" i="154"/>
  <c r="C18" i="154"/>
  <c r="C15" i="154"/>
  <c r="C12" i="154"/>
  <c r="C9" i="154"/>
  <c r="C6" i="154"/>
  <c r="C3" i="154"/>
  <c r="N174" i="154"/>
  <c r="M174" i="154"/>
  <c r="L174" i="154"/>
  <c r="K174" i="154"/>
  <c r="J174" i="154"/>
  <c r="I174" i="154"/>
  <c r="H174" i="154"/>
  <c r="G174" i="154"/>
  <c r="F174" i="154"/>
  <c r="E174" i="154"/>
  <c r="D174" i="154"/>
  <c r="C174" i="154"/>
  <c r="C175" i="154" s="1"/>
  <c r="O173" i="154"/>
  <c r="O172" i="154"/>
  <c r="O171" i="154"/>
  <c r="O170" i="154"/>
  <c r="O169" i="154"/>
  <c r="O167" i="154"/>
  <c r="O166" i="154"/>
  <c r="O165" i="154"/>
  <c r="O164" i="154"/>
  <c r="O163" i="154"/>
  <c r="O162" i="154"/>
  <c r="O161" i="154"/>
  <c r="O160" i="154"/>
  <c r="O159" i="154"/>
  <c r="O158" i="154"/>
  <c r="O157" i="154"/>
  <c r="O156" i="154"/>
  <c r="O155" i="154"/>
  <c r="O154" i="154"/>
  <c r="O153" i="154"/>
  <c r="O152" i="154"/>
  <c r="O151" i="154"/>
  <c r="O150" i="154"/>
  <c r="O149" i="154"/>
  <c r="O148" i="154"/>
  <c r="O147" i="154"/>
  <c r="O146" i="154"/>
  <c r="O145" i="154"/>
  <c r="O144" i="154"/>
  <c r="O143" i="154"/>
  <c r="O142" i="154"/>
  <c r="O141" i="154"/>
  <c r="O140" i="154"/>
  <c r="O139" i="154"/>
  <c r="O138" i="154"/>
  <c r="O137" i="154"/>
  <c r="H29" i="32808"/>
  <c r="H28" i="32808"/>
  <c r="H27" i="32808"/>
  <c r="H26" i="32808"/>
  <c r="H25" i="32808"/>
  <c r="H24" i="32808"/>
  <c r="H23" i="32808"/>
  <c r="H22" i="32808"/>
  <c r="H21" i="32808"/>
  <c r="H20" i="32808"/>
  <c r="H19" i="32808"/>
  <c r="H18" i="32808"/>
  <c r="N9" i="32808"/>
  <c r="BL23" i="164"/>
  <c r="BL14" i="164"/>
  <c r="BL10" i="164"/>
  <c r="BL29" i="164"/>
  <c r="BL27" i="164"/>
  <c r="BL25" i="164"/>
  <c r="BL21" i="164"/>
  <c r="BL12" i="164"/>
  <c r="H11" i="165"/>
  <c r="AZ67" i="164"/>
  <c r="AZ66" i="164"/>
  <c r="AZ29" i="164"/>
  <c r="AZ28" i="164"/>
  <c r="BB69" i="164"/>
  <c r="BB31" i="164"/>
  <c r="BB32" i="164" s="1"/>
  <c r="H29" i="32807"/>
  <c r="H28" i="32807"/>
  <c r="H27" i="32807"/>
  <c r="H26" i="32807"/>
  <c r="H25" i="32807"/>
  <c r="H24" i="32807"/>
  <c r="H23" i="32807"/>
  <c r="H22" i="32807"/>
  <c r="H21" i="32807"/>
  <c r="H20" i="32807"/>
  <c r="H30" i="32807" s="1"/>
  <c r="H19" i="32807"/>
  <c r="H18" i="32807"/>
  <c r="N9" i="32807"/>
  <c r="I3" i="32803"/>
  <c r="D3" i="32803"/>
  <c r="P324" i="154"/>
  <c r="L7" i="32803"/>
  <c r="K7" i="32803"/>
  <c r="J7" i="32803"/>
  <c r="H7" i="32803"/>
  <c r="G7" i="32803"/>
  <c r="F7" i="32803"/>
  <c r="D7" i="32803"/>
  <c r="C7" i="32803"/>
  <c r="Q322" i="154"/>
  <c r="Q321" i="154"/>
  <c r="Q320" i="154"/>
  <c r="Q319" i="154"/>
  <c r="Q317" i="154"/>
  <c r="Q316" i="154"/>
  <c r="Q315" i="154"/>
  <c r="Q314" i="154"/>
  <c r="Q313" i="154"/>
  <c r="Q312" i="154"/>
  <c r="Q311" i="154"/>
  <c r="Q310" i="154"/>
  <c r="Q309" i="154"/>
  <c r="Q308" i="154"/>
  <c r="Q307" i="154"/>
  <c r="Q305" i="154"/>
  <c r="Q304" i="154"/>
  <c r="Q303" i="154"/>
  <c r="Q302" i="154"/>
  <c r="Q300" i="154"/>
  <c r="Q299" i="154"/>
  <c r="Q298" i="154"/>
  <c r="Q297" i="154"/>
  <c r="Q296" i="154"/>
  <c r="Q295" i="154"/>
  <c r="Q294" i="154"/>
  <c r="Q293" i="154"/>
  <c r="Q292" i="154"/>
  <c r="Q291" i="154"/>
  <c r="Q290" i="154"/>
  <c r="Q289" i="154"/>
  <c r="Q288" i="154"/>
  <c r="Q287" i="154"/>
  <c r="Q286" i="154"/>
  <c r="I7" i="32803"/>
  <c r="AC17" i="153"/>
  <c r="AD7" i="153" s="1"/>
  <c r="H30" i="32806"/>
  <c r="M17" i="148"/>
  <c r="L17" i="148"/>
  <c r="K17" i="148"/>
  <c r="J17" i="148"/>
  <c r="M16" i="148"/>
  <c r="L16" i="148"/>
  <c r="K16" i="148"/>
  <c r="J16" i="148"/>
  <c r="M15" i="148"/>
  <c r="L15" i="148"/>
  <c r="K15" i="148"/>
  <c r="J15" i="148"/>
  <c r="M14" i="148"/>
  <c r="L14" i="148"/>
  <c r="K14" i="148"/>
  <c r="J14" i="148"/>
  <c r="M13" i="148"/>
  <c r="L13" i="148"/>
  <c r="K13" i="148"/>
  <c r="J13" i="148"/>
  <c r="M12" i="148"/>
  <c r="L12" i="148"/>
  <c r="K12" i="148"/>
  <c r="J12" i="148"/>
  <c r="M11" i="148"/>
  <c r="L11" i="148"/>
  <c r="K11" i="148"/>
  <c r="J11" i="148"/>
  <c r="M10" i="148"/>
  <c r="L10" i="148"/>
  <c r="K10" i="148"/>
  <c r="J10" i="148"/>
  <c r="M9" i="148"/>
  <c r="L9" i="148"/>
  <c r="K9" i="148"/>
  <c r="J9" i="148"/>
  <c r="M8" i="148"/>
  <c r="L8" i="148"/>
  <c r="K8" i="148"/>
  <c r="J8" i="148"/>
  <c r="M7" i="148"/>
  <c r="L7" i="148"/>
  <c r="K7" i="148"/>
  <c r="J7" i="148"/>
  <c r="M6" i="148"/>
  <c r="L6" i="148"/>
  <c r="K6" i="148"/>
  <c r="J6" i="148"/>
  <c r="I17" i="148"/>
  <c r="I16" i="148"/>
  <c r="I15" i="148"/>
  <c r="I14" i="148"/>
  <c r="I13" i="148"/>
  <c r="I12" i="148"/>
  <c r="I11" i="148"/>
  <c r="I10" i="148"/>
  <c r="I9" i="148"/>
  <c r="I8" i="148"/>
  <c r="I7" i="148"/>
  <c r="I6" i="148"/>
  <c r="M57" i="148"/>
  <c r="L57" i="148"/>
  <c r="K57" i="148"/>
  <c r="J57" i="148"/>
  <c r="I57" i="148"/>
  <c r="M56" i="148"/>
  <c r="L56" i="148"/>
  <c r="K56" i="148"/>
  <c r="J56" i="148"/>
  <c r="I56" i="148"/>
  <c r="M55" i="148"/>
  <c r="L55" i="148"/>
  <c r="K55" i="148"/>
  <c r="J55" i="148"/>
  <c r="I55" i="148"/>
  <c r="M54" i="148"/>
  <c r="L54" i="148"/>
  <c r="K54" i="148"/>
  <c r="J54" i="148"/>
  <c r="I54" i="148"/>
  <c r="M53" i="148"/>
  <c r="L53" i="148"/>
  <c r="K53" i="148"/>
  <c r="J53" i="148"/>
  <c r="I53" i="148"/>
  <c r="M52" i="148"/>
  <c r="L52" i="148"/>
  <c r="K52" i="148"/>
  <c r="J52" i="148"/>
  <c r="I52" i="148"/>
  <c r="M51" i="148"/>
  <c r="L51" i="148"/>
  <c r="K51" i="148"/>
  <c r="J51" i="148"/>
  <c r="I51" i="148"/>
  <c r="M50" i="148"/>
  <c r="L50" i="148"/>
  <c r="K50" i="148"/>
  <c r="J50" i="148"/>
  <c r="I50" i="148"/>
  <c r="M49" i="148"/>
  <c r="L49" i="148"/>
  <c r="K49" i="148"/>
  <c r="J49" i="148"/>
  <c r="I49" i="148"/>
  <c r="M48" i="148"/>
  <c r="L48" i="148"/>
  <c r="K48" i="148"/>
  <c r="J48" i="148"/>
  <c r="I48" i="148"/>
  <c r="M47" i="148"/>
  <c r="L47" i="148"/>
  <c r="K47" i="148"/>
  <c r="J47" i="148"/>
  <c r="I47" i="148"/>
  <c r="M46" i="148"/>
  <c r="L46" i="148"/>
  <c r="K46" i="148"/>
  <c r="J46" i="148"/>
  <c r="I46" i="148"/>
  <c r="M37" i="148"/>
  <c r="L37" i="148"/>
  <c r="K37" i="148"/>
  <c r="J37" i="148"/>
  <c r="I37" i="148"/>
  <c r="M36" i="148"/>
  <c r="L36" i="148"/>
  <c r="K36" i="148"/>
  <c r="J36" i="148"/>
  <c r="I36" i="148"/>
  <c r="M35" i="148"/>
  <c r="L35" i="148"/>
  <c r="K35" i="148"/>
  <c r="J35" i="148"/>
  <c r="I35" i="148"/>
  <c r="M34" i="148"/>
  <c r="L34" i="148"/>
  <c r="K34" i="148"/>
  <c r="J34" i="148"/>
  <c r="I34" i="148"/>
  <c r="M33" i="148"/>
  <c r="L33" i="148"/>
  <c r="K33" i="148"/>
  <c r="J33" i="148"/>
  <c r="I33" i="148"/>
  <c r="M32" i="148"/>
  <c r="L32" i="148"/>
  <c r="K32" i="148"/>
  <c r="J32" i="148"/>
  <c r="I32" i="148"/>
  <c r="M31" i="148"/>
  <c r="L31" i="148"/>
  <c r="K31" i="148"/>
  <c r="J31" i="148"/>
  <c r="I31" i="148"/>
  <c r="M30" i="148"/>
  <c r="L30" i="148"/>
  <c r="K30" i="148"/>
  <c r="J30" i="148"/>
  <c r="I30" i="148"/>
  <c r="M29" i="148"/>
  <c r="L29" i="148"/>
  <c r="K29" i="148"/>
  <c r="J29" i="148"/>
  <c r="I29" i="148"/>
  <c r="M28" i="148"/>
  <c r="L28" i="148"/>
  <c r="K28" i="148"/>
  <c r="J28" i="148"/>
  <c r="I28" i="148"/>
  <c r="M27" i="148"/>
  <c r="L27" i="148"/>
  <c r="K27" i="148"/>
  <c r="J27" i="148"/>
  <c r="I27" i="148"/>
  <c r="M26" i="148"/>
  <c r="L26" i="148"/>
  <c r="K26" i="148"/>
  <c r="J26" i="148"/>
  <c r="I26" i="148"/>
  <c r="W17" i="153"/>
  <c r="X9" i="153" s="1"/>
  <c r="Z17" i="153"/>
  <c r="AA4" i="153" s="1"/>
  <c r="AY69" i="164"/>
  <c r="AS69" i="164"/>
  <c r="AP69" i="164"/>
  <c r="AP70" i="164" s="1"/>
  <c r="AM69" i="164"/>
  <c r="AM70" i="164" s="1"/>
  <c r="AJ69" i="164"/>
  <c r="AG69" i="164"/>
  <c r="AG70" i="164" s="1"/>
  <c r="AW67" i="164"/>
  <c r="AW66" i="164"/>
  <c r="AW29" i="164"/>
  <c r="AW28" i="164"/>
  <c r="AY31" i="164"/>
  <c r="AV61" i="164"/>
  <c r="AV68" i="164" s="1"/>
  <c r="AV77" i="164"/>
  <c r="AV23" i="164"/>
  <c r="AV30" i="164" s="1"/>
  <c r="N8" i="32805"/>
  <c r="N7" i="32805"/>
  <c r="N6" i="32805"/>
  <c r="N5" i="32805"/>
  <c r="N4" i="32805"/>
  <c r="D105" i="154"/>
  <c r="D108" i="154"/>
  <c r="D111" i="154"/>
  <c r="D114" i="154"/>
  <c r="AS68" i="164"/>
  <c r="AT28" i="164"/>
  <c r="AT29" i="164"/>
  <c r="AT66" i="164"/>
  <c r="AQ66" i="164"/>
  <c r="AT67" i="164"/>
  <c r="H30" i="32805"/>
  <c r="N9" i="32805"/>
  <c r="T17" i="153"/>
  <c r="U13" i="153" s="1"/>
  <c r="K11" i="32803"/>
  <c r="J11" i="32803"/>
  <c r="I11" i="32803"/>
  <c r="H11" i="32803"/>
  <c r="G11" i="32803"/>
  <c r="C11" i="32803"/>
  <c r="E3" i="32803"/>
  <c r="F3" i="32803"/>
  <c r="L3" i="32803"/>
  <c r="K3" i="32803"/>
  <c r="H3" i="32803"/>
  <c r="E7" i="32803"/>
  <c r="L11" i="32803"/>
  <c r="F11" i="32803"/>
  <c r="E11" i="32803"/>
  <c r="D11" i="32803"/>
  <c r="M11" i="32803"/>
  <c r="N5" i="32802"/>
  <c r="AQ29" i="164"/>
  <c r="AQ28" i="164"/>
  <c r="AQ67" i="164"/>
  <c r="AS31" i="164"/>
  <c r="H30" i="32804"/>
  <c r="N9" i="32804"/>
  <c r="J3" i="32803"/>
  <c r="G3" i="32803"/>
  <c r="C3" i="32803"/>
  <c r="B3" i="32803"/>
  <c r="B4" i="32803" s="1"/>
  <c r="Q17" i="153"/>
  <c r="R15" i="153" s="1"/>
  <c r="N17" i="153"/>
  <c r="O11" i="153" s="1"/>
  <c r="AP31" i="164"/>
  <c r="H30" i="32802"/>
  <c r="G29" i="32802"/>
  <c r="F29" i="32802"/>
  <c r="E29" i="32802"/>
  <c r="D29" i="32802"/>
  <c r="C29" i="32802"/>
  <c r="G28" i="32802"/>
  <c r="F28" i="32802"/>
  <c r="E28" i="32802"/>
  <c r="D28" i="32802"/>
  <c r="C28" i="32802"/>
  <c r="G27" i="32802"/>
  <c r="F27" i="32802"/>
  <c r="E27" i="32802"/>
  <c r="D27" i="32802"/>
  <c r="C27" i="32802"/>
  <c r="G26" i="32802"/>
  <c r="F26" i="32802"/>
  <c r="E26" i="32802"/>
  <c r="D26" i="32802"/>
  <c r="C26" i="32802"/>
  <c r="G25" i="32802"/>
  <c r="F25" i="32802"/>
  <c r="E25" i="32802"/>
  <c r="D25" i="32802"/>
  <c r="C25" i="32802"/>
  <c r="G24" i="32802"/>
  <c r="F24" i="32802"/>
  <c r="E24" i="32802"/>
  <c r="D24" i="32802"/>
  <c r="C24" i="32802"/>
  <c r="G23" i="32802"/>
  <c r="F23" i="32802"/>
  <c r="E23" i="32802"/>
  <c r="D23" i="32802"/>
  <c r="C23" i="32802"/>
  <c r="G22" i="32802"/>
  <c r="F22" i="32802"/>
  <c r="E22" i="32802"/>
  <c r="D22" i="32802"/>
  <c r="C22" i="32802"/>
  <c r="G21" i="32802"/>
  <c r="F21" i="32802"/>
  <c r="E21" i="32802"/>
  <c r="D21" i="32802"/>
  <c r="C21" i="32802"/>
  <c r="G20" i="32802"/>
  <c r="F20" i="32802"/>
  <c r="E20" i="32802"/>
  <c r="D20" i="32802"/>
  <c r="C20" i="32802"/>
  <c r="C30" i="32802"/>
  <c r="G19" i="32802"/>
  <c r="F19" i="32802"/>
  <c r="E19" i="32802"/>
  <c r="D19" i="32802"/>
  <c r="C19" i="32802"/>
  <c r="G18" i="32802"/>
  <c r="F18" i="32802"/>
  <c r="F30" i="32802"/>
  <c r="E18" i="32802"/>
  <c r="E30" i="32802"/>
  <c r="D18" i="32802"/>
  <c r="C18" i="32802"/>
  <c r="N9" i="32802"/>
  <c r="N8" i="32802"/>
  <c r="N7" i="32802"/>
  <c r="N6" i="32802"/>
  <c r="B9" i="32801"/>
  <c r="D18" i="32801"/>
  <c r="D20" i="32801"/>
  <c r="D21" i="32801"/>
  <c r="D23" i="32801"/>
  <c r="D24" i="32801"/>
  <c r="D26" i="32801"/>
  <c r="D27" i="32801"/>
  <c r="D29" i="32801"/>
  <c r="AM31" i="164"/>
  <c r="AM32" i="164" s="1"/>
  <c r="AK29" i="164"/>
  <c r="AK28" i="164"/>
  <c r="AK67" i="164"/>
  <c r="AK66" i="164"/>
  <c r="M9" i="32801"/>
  <c r="L9" i="32801"/>
  <c r="K9" i="32801"/>
  <c r="J9" i="32801"/>
  <c r="I9" i="32801"/>
  <c r="H9" i="32801"/>
  <c r="G9" i="32801"/>
  <c r="F9" i="32801"/>
  <c r="E9" i="32801"/>
  <c r="D9" i="32801"/>
  <c r="C9" i="32801"/>
  <c r="N9" i="32801"/>
  <c r="G29" i="32801"/>
  <c r="F29" i="32801"/>
  <c r="E29" i="32801"/>
  <c r="C29" i="32801"/>
  <c r="G28" i="32801"/>
  <c r="F28" i="32801"/>
  <c r="E28" i="32801"/>
  <c r="C28" i="32801"/>
  <c r="G27" i="32801"/>
  <c r="F27" i="32801"/>
  <c r="E27" i="32801"/>
  <c r="C27" i="32801"/>
  <c r="G26" i="32801"/>
  <c r="F26" i="32801"/>
  <c r="E26" i="32801"/>
  <c r="C26" i="32801"/>
  <c r="G25" i="32801"/>
  <c r="F25" i="32801"/>
  <c r="E25" i="32801"/>
  <c r="C25" i="32801"/>
  <c r="G24" i="32801"/>
  <c r="F24" i="32801"/>
  <c r="E24" i="32801"/>
  <c r="C24" i="32801"/>
  <c r="G23" i="32801"/>
  <c r="F23" i="32801"/>
  <c r="E23" i="32801"/>
  <c r="C23" i="32801"/>
  <c r="G22" i="32801"/>
  <c r="F22" i="32801"/>
  <c r="E22" i="32801"/>
  <c r="C22" i="32801"/>
  <c r="G21" i="32801"/>
  <c r="F21" i="32801"/>
  <c r="E21" i="32801"/>
  <c r="C21" i="32801"/>
  <c r="G20" i="32801"/>
  <c r="F20" i="32801"/>
  <c r="E20" i="32801"/>
  <c r="C20" i="32801"/>
  <c r="G19" i="32801"/>
  <c r="G30" i="32801"/>
  <c r="F19" i="32801"/>
  <c r="E19" i="32801"/>
  <c r="C19" i="32801"/>
  <c r="H30" i="32801"/>
  <c r="G18" i="32801"/>
  <c r="F18" i="32801"/>
  <c r="F30" i="32801"/>
  <c r="E18" i="32801"/>
  <c r="C18" i="32801"/>
  <c r="N8" i="32801"/>
  <c r="N7" i="32801"/>
  <c r="N6" i="32801"/>
  <c r="D28" i="32801"/>
  <c r="D25" i="32801"/>
  <c r="D22" i="32801"/>
  <c r="D19" i="32801"/>
  <c r="N4" i="32801"/>
  <c r="K17" i="153"/>
  <c r="L8" i="153" s="1"/>
  <c r="AH67" i="164"/>
  <c r="AH66" i="164"/>
  <c r="AJ68" i="164"/>
  <c r="AJ30" i="164"/>
  <c r="AH28" i="164"/>
  <c r="AH29" i="164"/>
  <c r="AJ31" i="164"/>
  <c r="AJ32" i="164" s="1"/>
  <c r="AG31" i="164"/>
  <c r="AG32" i="164" s="1"/>
  <c r="H41" i="165"/>
  <c r="H40" i="165"/>
  <c r="H39" i="165"/>
  <c r="H38" i="165"/>
  <c r="H37" i="165"/>
  <c r="H36" i="165"/>
  <c r="H35" i="165"/>
  <c r="H34" i="165"/>
  <c r="H33" i="165"/>
  <c r="H32" i="165"/>
  <c r="H31" i="165"/>
  <c r="H30" i="165"/>
  <c r="F11" i="165"/>
  <c r="L11" i="165"/>
  <c r="H17" i="153"/>
  <c r="I6" i="153" s="1"/>
  <c r="N4" i="32799"/>
  <c r="C5" i="32799"/>
  <c r="F5" i="32799"/>
  <c r="I5" i="32799"/>
  <c r="L5" i="32799"/>
  <c r="N5" i="32799"/>
  <c r="N6" i="32799"/>
  <c r="N7" i="32799"/>
  <c r="N8" i="32799"/>
  <c r="N9" i="32799"/>
  <c r="N11" i="32799"/>
  <c r="B12" i="32799"/>
  <c r="C12" i="32799"/>
  <c r="D12" i="32799"/>
  <c r="E12" i="32799"/>
  <c r="F12" i="32799"/>
  <c r="G12" i="32799"/>
  <c r="N12" i="32799"/>
  <c r="H12" i="32799"/>
  <c r="I12" i="32799"/>
  <c r="J12" i="32799"/>
  <c r="K12" i="32799"/>
  <c r="L12" i="32799"/>
  <c r="M12" i="32799"/>
  <c r="C18" i="32799"/>
  <c r="D18" i="32799"/>
  <c r="E18" i="32799"/>
  <c r="F18" i="32799"/>
  <c r="G18" i="32799"/>
  <c r="H18" i="32799"/>
  <c r="C19" i="32799"/>
  <c r="D19" i="32799"/>
  <c r="E19" i="32799"/>
  <c r="F19" i="32799"/>
  <c r="F30" i="32799"/>
  <c r="G19" i="32799"/>
  <c r="H19" i="32799"/>
  <c r="C20" i="32799"/>
  <c r="D20" i="32799"/>
  <c r="E20" i="32799"/>
  <c r="F20" i="32799"/>
  <c r="G20" i="32799"/>
  <c r="H20" i="32799"/>
  <c r="C21" i="32799"/>
  <c r="D21" i="32799"/>
  <c r="E21" i="32799"/>
  <c r="F21" i="32799"/>
  <c r="G21" i="32799"/>
  <c r="H21" i="32799"/>
  <c r="C22" i="32799"/>
  <c r="D22" i="32799"/>
  <c r="E22" i="32799"/>
  <c r="F22" i="32799"/>
  <c r="G22" i="32799"/>
  <c r="H22" i="32799"/>
  <c r="C23" i="32799"/>
  <c r="D23" i="32799"/>
  <c r="E23" i="32799"/>
  <c r="F23" i="32799"/>
  <c r="G23" i="32799"/>
  <c r="H23" i="32799"/>
  <c r="C24" i="32799"/>
  <c r="D24" i="32799"/>
  <c r="E24" i="32799"/>
  <c r="F24" i="32799"/>
  <c r="G24" i="32799"/>
  <c r="H24" i="32799"/>
  <c r="C25" i="32799"/>
  <c r="D25" i="32799"/>
  <c r="E25" i="32799"/>
  <c r="F25" i="32799"/>
  <c r="G25" i="32799"/>
  <c r="H25" i="32799"/>
  <c r="C26" i="32799"/>
  <c r="D26" i="32799"/>
  <c r="E26" i="32799"/>
  <c r="F26" i="32799"/>
  <c r="G26" i="32799"/>
  <c r="H26" i="32799"/>
  <c r="C27" i="32799"/>
  <c r="D27" i="32799"/>
  <c r="E27" i="32799"/>
  <c r="F27" i="32799"/>
  <c r="G27" i="32799"/>
  <c r="H27" i="32799"/>
  <c r="C28" i="32799"/>
  <c r="D28" i="32799"/>
  <c r="E28" i="32799"/>
  <c r="F28" i="32799"/>
  <c r="G28" i="32799"/>
  <c r="H28" i="32799"/>
  <c r="C29" i="32799"/>
  <c r="D29" i="32799"/>
  <c r="E29" i="32799"/>
  <c r="F29" i="32799"/>
  <c r="G29" i="32799"/>
  <c r="H29" i="32799"/>
  <c r="C30" i="32799"/>
  <c r="H30" i="32799"/>
  <c r="O1" i="154"/>
  <c r="C30" i="164"/>
  <c r="F30" i="164"/>
  <c r="I30" i="164"/>
  <c r="L30" i="164"/>
  <c r="O30" i="164"/>
  <c r="R30" i="164"/>
  <c r="U30" i="164"/>
  <c r="X30" i="164"/>
  <c r="AA30" i="164"/>
  <c r="AD30" i="164"/>
  <c r="C31" i="164"/>
  <c r="F31" i="164"/>
  <c r="G34" i="164"/>
  <c r="I31" i="164"/>
  <c r="J34" i="164" s="1"/>
  <c r="L31" i="164"/>
  <c r="M33" i="164" s="1"/>
  <c r="M34" i="164"/>
  <c r="O31" i="164"/>
  <c r="R31" i="164"/>
  <c r="S34" i="164" s="1"/>
  <c r="U31" i="164"/>
  <c r="V34" i="164" s="1"/>
  <c r="V33" i="164"/>
  <c r="AE33" i="164" s="1"/>
  <c r="X31" i="164"/>
  <c r="Y34" i="164"/>
  <c r="AA31" i="164"/>
  <c r="AD31" i="164"/>
  <c r="D33" i="164"/>
  <c r="Y33" i="164"/>
  <c r="D34" i="164"/>
  <c r="C68" i="164"/>
  <c r="D4" i="164"/>
  <c r="F68" i="164"/>
  <c r="G13" i="164" s="1"/>
  <c r="I68" i="164"/>
  <c r="J51" i="164" s="1"/>
  <c r="L68" i="164"/>
  <c r="M63" i="164" s="1"/>
  <c r="M61" i="164"/>
  <c r="O68" i="164"/>
  <c r="P25" i="164" s="1"/>
  <c r="R68" i="164"/>
  <c r="S9" i="164" s="1"/>
  <c r="U68" i="164"/>
  <c r="V43" i="164" s="1"/>
  <c r="V68" i="164" s="1"/>
  <c r="X68" i="164"/>
  <c r="Y53" i="164" s="1"/>
  <c r="AA68" i="164"/>
  <c r="AD68" i="164"/>
  <c r="C69" i="164"/>
  <c r="D72" i="164" s="1"/>
  <c r="F69" i="164"/>
  <c r="G71" i="164" s="1"/>
  <c r="I69" i="164"/>
  <c r="J73" i="164" s="1"/>
  <c r="J71" i="164"/>
  <c r="L69" i="164"/>
  <c r="M74" i="164" s="1"/>
  <c r="O69" i="164"/>
  <c r="P71" i="164"/>
  <c r="R69" i="164"/>
  <c r="S71" i="164" s="1"/>
  <c r="U69" i="164"/>
  <c r="V72" i="164" s="1"/>
  <c r="X69" i="164"/>
  <c r="Y74" i="164" s="1"/>
  <c r="AA69" i="164"/>
  <c r="AB73" i="164" s="1"/>
  <c r="AH73" i="164" s="1"/>
  <c r="AD69" i="164"/>
  <c r="AE72" i="164"/>
  <c r="AE71" i="164"/>
  <c r="V73" i="164"/>
  <c r="O4" i="167"/>
  <c r="C5" i="167"/>
  <c r="D5" i="167"/>
  <c r="E5" i="167"/>
  <c r="F5" i="167"/>
  <c r="G5" i="167"/>
  <c r="H5" i="167"/>
  <c r="I5" i="167"/>
  <c r="J5" i="167"/>
  <c r="K5" i="167"/>
  <c r="L5" i="167"/>
  <c r="M5" i="167"/>
  <c r="N5" i="167"/>
  <c r="O9" i="167"/>
  <c r="C10" i="167"/>
  <c r="D10" i="167"/>
  <c r="E10" i="167"/>
  <c r="F10" i="167"/>
  <c r="G10" i="167"/>
  <c r="H10" i="167"/>
  <c r="I10" i="167"/>
  <c r="J10" i="167"/>
  <c r="K10" i="167"/>
  <c r="L10" i="167"/>
  <c r="M10" i="167"/>
  <c r="N10" i="167"/>
  <c r="O20" i="167"/>
  <c r="G28" i="167"/>
  <c r="O21" i="167"/>
  <c r="O22" i="167"/>
  <c r="D30" i="167"/>
  <c r="O23" i="167"/>
  <c r="J31" i="167"/>
  <c r="O24" i="167"/>
  <c r="C26" i="167"/>
  <c r="D26" i="167"/>
  <c r="E26" i="167"/>
  <c r="F26" i="167"/>
  <c r="G26" i="167"/>
  <c r="H26" i="167"/>
  <c r="I26" i="167"/>
  <c r="J26" i="167"/>
  <c r="K26" i="167"/>
  <c r="L26" i="167"/>
  <c r="M26" i="167"/>
  <c r="N26" i="167"/>
  <c r="I28" i="167"/>
  <c r="M28" i="167"/>
  <c r="J29" i="167"/>
  <c r="K29" i="167"/>
  <c r="C30" i="167"/>
  <c r="E30" i="167"/>
  <c r="G30" i="167"/>
  <c r="I30" i="167"/>
  <c r="K30" i="167"/>
  <c r="M30" i="167"/>
  <c r="D31" i="167"/>
  <c r="E31" i="167"/>
  <c r="F31" i="167"/>
  <c r="H31" i="167"/>
  <c r="I31" i="167"/>
  <c r="L31" i="167"/>
  <c r="M31" i="167"/>
  <c r="N31" i="167"/>
  <c r="E32" i="167"/>
  <c r="G32" i="167"/>
  <c r="C47" i="167"/>
  <c r="C48" i="167"/>
  <c r="C50" i="167"/>
  <c r="D47" i="167"/>
  <c r="D48" i="167"/>
  <c r="D50" i="167"/>
  <c r="E47" i="167"/>
  <c r="E48" i="167"/>
  <c r="E50" i="167"/>
  <c r="E17" i="153"/>
  <c r="F12" i="153" s="1"/>
  <c r="AF17" i="153"/>
  <c r="D2" i="165"/>
  <c r="E2" i="165"/>
  <c r="F2" i="165"/>
  <c r="G2" i="165"/>
  <c r="H2" i="165"/>
  <c r="I2" i="165"/>
  <c r="J2" i="165"/>
  <c r="K2" i="165"/>
  <c r="L2" i="165"/>
  <c r="M2" i="165"/>
  <c r="N2" i="165"/>
  <c r="C5" i="165"/>
  <c r="D5" i="165"/>
  <c r="E5" i="165"/>
  <c r="F5" i="165"/>
  <c r="G5" i="165"/>
  <c r="H5" i="165"/>
  <c r="I5" i="165"/>
  <c r="J5" i="165"/>
  <c r="K5" i="165"/>
  <c r="L5" i="165"/>
  <c r="N5" i="165"/>
  <c r="M6" i="165"/>
  <c r="E7" i="165"/>
  <c r="H7" i="165"/>
  <c r="H8" i="165"/>
  <c r="K8" i="165"/>
  <c r="K7" i="165"/>
  <c r="O20" i="165"/>
  <c r="G14" i="167"/>
  <c r="G15" i="167"/>
  <c r="V66" i="164"/>
  <c r="V63" i="164"/>
  <c r="D63" i="164"/>
  <c r="V61" i="164"/>
  <c r="J57" i="164"/>
  <c r="D53" i="164"/>
  <c r="V51" i="164"/>
  <c r="D51" i="164"/>
  <c r="D45" i="164"/>
  <c r="D43" i="164"/>
  <c r="P26" i="164"/>
  <c r="D19" i="164"/>
  <c r="D18" i="164"/>
  <c r="D8" i="164"/>
  <c r="J4" i="164"/>
  <c r="F32" i="167"/>
  <c r="N30" i="167"/>
  <c r="L30" i="167"/>
  <c r="J30" i="167"/>
  <c r="H30" i="167"/>
  <c r="F30" i="167"/>
  <c r="H28" i="167"/>
  <c r="D28" i="167"/>
  <c r="O26" i="167"/>
  <c r="C34" i="167"/>
  <c r="J14" i="167"/>
  <c r="H14" i="167"/>
  <c r="H15" i="167"/>
  <c r="P74" i="164"/>
  <c r="Y67" i="164"/>
  <c r="M67" i="164"/>
  <c r="V65" i="164"/>
  <c r="V64" i="164"/>
  <c r="V62" i="164"/>
  <c r="V60" i="164"/>
  <c r="M59" i="164"/>
  <c r="V58" i="164"/>
  <c r="V56" i="164"/>
  <c r="Y55" i="164"/>
  <c r="M55" i="164"/>
  <c r="V54" i="164"/>
  <c r="V52" i="164"/>
  <c r="V50" i="164"/>
  <c r="V48" i="164"/>
  <c r="V46" i="164"/>
  <c r="V44" i="164"/>
  <c r="V42" i="164"/>
  <c r="M28" i="164"/>
  <c r="D27" i="164"/>
  <c r="G26" i="164"/>
  <c r="D25" i="164"/>
  <c r="M22" i="164"/>
  <c r="D21" i="164"/>
  <c r="M19" i="164"/>
  <c r="G18" i="164"/>
  <c r="D17" i="164"/>
  <c r="D13" i="164"/>
  <c r="M11" i="164"/>
  <c r="P9" i="164"/>
  <c r="D9" i="164"/>
  <c r="D5" i="164"/>
  <c r="K14" i="167"/>
  <c r="I14" i="167"/>
  <c r="I15" i="167"/>
  <c r="Y64" i="164"/>
  <c r="D57" i="164"/>
  <c r="V55" i="164"/>
  <c r="V49" i="164"/>
  <c r="V47" i="164"/>
  <c r="D23" i="164"/>
  <c r="D22" i="164"/>
  <c r="D12" i="164"/>
  <c r="D11" i="164"/>
  <c r="D7" i="164"/>
  <c r="AG68" i="164"/>
  <c r="AG30" i="164"/>
  <c r="P72" i="164"/>
  <c r="M65" i="164"/>
  <c r="G62" i="164"/>
  <c r="M46" i="164"/>
  <c r="M21" i="164"/>
  <c r="M17" i="164"/>
  <c r="M62" i="164"/>
  <c r="M50" i="164"/>
  <c r="M9" i="164"/>
  <c r="D30" i="32801"/>
  <c r="N5" i="32801"/>
  <c r="D30" i="32802"/>
  <c r="AN28" i="164"/>
  <c r="AS30" i="164"/>
  <c r="AS32" i="164"/>
  <c r="AM68" i="164"/>
  <c r="AN66" i="164"/>
  <c r="AM30" i="164"/>
  <c r="AN29" i="164"/>
  <c r="M73" i="164"/>
  <c r="AN67" i="164"/>
  <c r="AP68" i="164"/>
  <c r="AP30" i="164"/>
  <c r="AP32" i="164" s="1"/>
  <c r="K11" i="165"/>
  <c r="E11" i="165"/>
  <c r="D21" i="32805"/>
  <c r="D29" i="32805"/>
  <c r="D19" i="32805"/>
  <c r="D22" i="32805"/>
  <c r="D24" i="32805"/>
  <c r="D27" i="32805"/>
  <c r="D20" i="32804"/>
  <c r="D20" i="32805"/>
  <c r="D23" i="32805"/>
  <c r="D25" i="32805"/>
  <c r="D28" i="32805"/>
  <c r="D26" i="32805"/>
  <c r="D18" i="32805"/>
  <c r="C25" i="32805"/>
  <c r="C29" i="32805"/>
  <c r="C23" i="32805"/>
  <c r="C27" i="32805"/>
  <c r="C22" i="32805"/>
  <c r="F20" i="32805"/>
  <c r="F19" i="32805"/>
  <c r="F27" i="32805"/>
  <c r="F30" i="32805"/>
  <c r="F23" i="32805"/>
  <c r="F24" i="32805"/>
  <c r="F29" i="32805"/>
  <c r="F18" i="32805"/>
  <c r="F25" i="32805"/>
  <c r="F26" i="32805"/>
  <c r="F28" i="32805"/>
  <c r="F21" i="32805"/>
  <c r="F22" i="32805"/>
  <c r="G21" i="32805"/>
  <c r="G22" i="32805"/>
  <c r="G20" i="32805"/>
  <c r="G23" i="32805"/>
  <c r="G29" i="32805"/>
  <c r="G19" i="32805"/>
  <c r="G27" i="32805"/>
  <c r="G26" i="32805"/>
  <c r="G28" i="32805"/>
  <c r="G25" i="32805"/>
  <c r="G24" i="32805"/>
  <c r="G18" i="32805"/>
  <c r="C21" i="32805"/>
  <c r="C20" i="32805"/>
  <c r="C24" i="32805"/>
  <c r="C28" i="32805"/>
  <c r="C19" i="32805"/>
  <c r="C26" i="32805"/>
  <c r="C18" i="32805"/>
  <c r="C30" i="32805"/>
  <c r="E27" i="32805"/>
  <c r="E29" i="32805"/>
  <c r="E21" i="32805"/>
  <c r="E20" i="32805"/>
  <c r="E19" i="32805"/>
  <c r="E25" i="32805"/>
  <c r="E28" i="32805"/>
  <c r="E23" i="32805"/>
  <c r="E26" i="32805"/>
  <c r="E24" i="32805"/>
  <c r="E22" i="32805"/>
  <c r="E18" i="32805"/>
  <c r="M10" i="164"/>
  <c r="M16" i="164"/>
  <c r="M48" i="164"/>
  <c r="M56" i="164"/>
  <c r="M60" i="164"/>
  <c r="M13" i="164"/>
  <c r="M24" i="164"/>
  <c r="M27" i="164"/>
  <c r="S16" i="164"/>
  <c r="S8" i="164"/>
  <c r="M15" i="164"/>
  <c r="M18" i="164"/>
  <c r="G22" i="164"/>
  <c r="S43" i="164"/>
  <c r="S51" i="164"/>
  <c r="S59" i="164"/>
  <c r="S67" i="164"/>
  <c r="V74" i="164"/>
  <c r="S56" i="164"/>
  <c r="Y73" i="164"/>
  <c r="Y72" i="164"/>
  <c r="G33" i="164"/>
  <c r="AJ70" i="164"/>
  <c r="AV31" i="164"/>
  <c r="J8" i="164"/>
  <c r="P12" i="164"/>
  <c r="D15" i="164"/>
  <c r="D28" i="164"/>
  <c r="D29" i="164"/>
  <c r="J43" i="164"/>
  <c r="V45" i="164"/>
  <c r="V53" i="164"/>
  <c r="V57" i="164"/>
  <c r="D59" i="164"/>
  <c r="V59" i="164"/>
  <c r="D61" i="164"/>
  <c r="D66" i="164"/>
  <c r="D6" i="164"/>
  <c r="P6" i="164"/>
  <c r="D10" i="164"/>
  <c r="D14" i="164"/>
  <c r="P14" i="164"/>
  <c r="D16" i="164"/>
  <c r="D20" i="164"/>
  <c r="P20" i="164"/>
  <c r="D24" i="164"/>
  <c r="D42" i="164"/>
  <c r="P42" i="164"/>
  <c r="D44" i="164"/>
  <c r="D46" i="164"/>
  <c r="P46" i="164"/>
  <c r="D48" i="164"/>
  <c r="D50" i="164"/>
  <c r="P50" i="164"/>
  <c r="D52" i="164"/>
  <c r="D54" i="164"/>
  <c r="P54" i="164"/>
  <c r="D56" i="164"/>
  <c r="D58" i="164"/>
  <c r="P58" i="164"/>
  <c r="D60" i="164"/>
  <c r="D62" i="164"/>
  <c r="P62" i="164"/>
  <c r="D64" i="164"/>
  <c r="D65" i="164"/>
  <c r="P65" i="164"/>
  <c r="J72" i="164"/>
  <c r="J74" i="164"/>
  <c r="P7" i="164"/>
  <c r="P8" i="164"/>
  <c r="J19" i="164"/>
  <c r="D26" i="164"/>
  <c r="J28" i="164"/>
  <c r="P45" i="164"/>
  <c r="D47" i="164"/>
  <c r="D49" i="164"/>
  <c r="D55" i="164"/>
  <c r="P57" i="164"/>
  <c r="D67" i="164"/>
  <c r="V67" i="164"/>
  <c r="S33" i="164"/>
  <c r="D11" i="165"/>
  <c r="AE74" i="164"/>
  <c r="P73" i="164"/>
  <c r="D19" i="32804"/>
  <c r="AS70" i="164"/>
  <c r="D29" i="32804"/>
  <c r="D27" i="32804"/>
  <c r="D24" i="32804"/>
  <c r="D22" i="32804"/>
  <c r="D26" i="32804"/>
  <c r="D28" i="32804"/>
  <c r="D25" i="32804"/>
  <c r="D23" i="32804"/>
  <c r="D21" i="32804"/>
  <c r="D18" i="32804"/>
  <c r="D30" i="32804"/>
  <c r="N5" i="32804"/>
  <c r="J27" i="164"/>
  <c r="E30" i="32805"/>
  <c r="J15" i="164"/>
  <c r="J14" i="164"/>
  <c r="J65" i="164"/>
  <c r="J24" i="164"/>
  <c r="J29" i="164"/>
  <c r="J12" i="164"/>
  <c r="J16" i="164"/>
  <c r="J53" i="164"/>
  <c r="J7" i="164"/>
  <c r="J60" i="164"/>
  <c r="J50" i="164"/>
  <c r="J44" i="164"/>
  <c r="J64" i="164"/>
  <c r="J54" i="164"/>
  <c r="J48" i="164"/>
  <c r="J20" i="164"/>
  <c r="J6" i="164"/>
  <c r="J18" i="164"/>
  <c r="J10" i="164"/>
  <c r="J63" i="164"/>
  <c r="J67" i="164"/>
  <c r="J22" i="164"/>
  <c r="J46" i="164"/>
  <c r="J52" i="164"/>
  <c r="J26" i="164"/>
  <c r="J55" i="164"/>
  <c r="J25" i="164"/>
  <c r="J11" i="164"/>
  <c r="J61" i="164"/>
  <c r="J56" i="164"/>
  <c r="J42" i="164"/>
  <c r="J13" i="164"/>
  <c r="J21" i="164"/>
  <c r="J59" i="164"/>
  <c r="J58" i="164"/>
  <c r="J47" i="164"/>
  <c r="J45" i="164"/>
  <c r="J49" i="164"/>
  <c r="J5" i="164"/>
  <c r="J66" i="164"/>
  <c r="J62" i="164"/>
  <c r="J9" i="164"/>
  <c r="J17" i="164"/>
  <c r="J23" i="164"/>
  <c r="G30" i="32805"/>
  <c r="Y61" i="164"/>
  <c r="Y57" i="164"/>
  <c r="Y50" i="164"/>
  <c r="Y65" i="164"/>
  <c r="Y59" i="164"/>
  <c r="Y43" i="164"/>
  <c r="Y66" i="164"/>
  <c r="Y56" i="164"/>
  <c r="Y58" i="164"/>
  <c r="D30" i="32805"/>
  <c r="Y60" i="164"/>
  <c r="Y47" i="164"/>
  <c r="P33" i="164"/>
  <c r="AB33" i="164" s="1"/>
  <c r="P34" i="164"/>
  <c r="O5" i="167"/>
  <c r="G6" i="167"/>
  <c r="M5" i="165"/>
  <c r="N7" i="165"/>
  <c r="N8" i="165"/>
  <c r="O6" i="165"/>
  <c r="D29" i="167"/>
  <c r="L29" i="167"/>
  <c r="E29" i="167"/>
  <c r="M29" i="167"/>
  <c r="F29" i="167"/>
  <c r="N29" i="167"/>
  <c r="I29" i="167"/>
  <c r="C29" i="167"/>
  <c r="G29" i="167"/>
  <c r="H29" i="167"/>
  <c r="M71" i="164"/>
  <c r="D4" i="165"/>
  <c r="E4" i="165"/>
  <c r="F4" i="165"/>
  <c r="G4" i="165"/>
  <c r="H4" i="165"/>
  <c r="I4" i="165"/>
  <c r="J4" i="165"/>
  <c r="K4" i="165"/>
  <c r="L4" i="165"/>
  <c r="Y71" i="164"/>
  <c r="P13" i="164"/>
  <c r="P66" i="164"/>
  <c r="P21" i="164"/>
  <c r="P59" i="164"/>
  <c r="P17" i="164"/>
  <c r="I32" i="167"/>
  <c r="L32" i="167"/>
  <c r="K32" i="167"/>
  <c r="J32" i="167"/>
  <c r="M32" i="167"/>
  <c r="H32" i="167"/>
  <c r="C32" i="167"/>
  <c r="D32" i="167"/>
  <c r="N32" i="167"/>
  <c r="AE73" i="164"/>
  <c r="C30" i="32801"/>
  <c r="AY68" i="164"/>
  <c r="AY70" i="164"/>
  <c r="C28" i="167"/>
  <c r="N28" i="167"/>
  <c r="L14" i="167"/>
  <c r="E28" i="167"/>
  <c r="M14" i="167"/>
  <c r="L28" i="167"/>
  <c r="E14" i="167"/>
  <c r="E15" i="167"/>
  <c r="K28" i="167"/>
  <c r="C14" i="167"/>
  <c r="C15" i="167"/>
  <c r="F28" i="167"/>
  <c r="F14" i="167"/>
  <c r="F15" i="167"/>
  <c r="D14" i="167"/>
  <c r="D15" i="167"/>
  <c r="J28" i="167"/>
  <c r="G30" i="32799"/>
  <c r="E30" i="32799"/>
  <c r="H42" i="165"/>
  <c r="AY30" i="164"/>
  <c r="AY32" i="164"/>
  <c r="G31" i="167"/>
  <c r="E30" i="32801"/>
  <c r="G30" i="32802"/>
  <c r="D30" i="32799"/>
  <c r="M49" i="164"/>
  <c r="M53" i="164"/>
  <c r="S14" i="164"/>
  <c r="K31" i="167"/>
  <c r="C31" i="167"/>
  <c r="B11" i="32803"/>
  <c r="B12" i="32803"/>
  <c r="C12" i="32803" s="1"/>
  <c r="D12" i="32803" s="1"/>
  <c r="E12" i="32803" s="1"/>
  <c r="F12" i="32803" s="1"/>
  <c r="G12" i="32803" s="1"/>
  <c r="H12" i="32803" s="1"/>
  <c r="I12" i="32803" s="1"/>
  <c r="J12" i="32803" s="1"/>
  <c r="K12" i="32803" s="1"/>
  <c r="L12" i="32803" s="1"/>
  <c r="M12" i="32803" s="1"/>
  <c r="E27" i="32806"/>
  <c r="E21" i="32806"/>
  <c r="C6" i="167"/>
  <c r="D22" i="32806"/>
  <c r="E28" i="32806"/>
  <c r="E22" i="32806"/>
  <c r="K6" i="167"/>
  <c r="E19" i="32806"/>
  <c r="D25" i="32806"/>
  <c r="D16" i="167"/>
  <c r="E16" i="167"/>
  <c r="F16" i="167"/>
  <c r="G16" i="167"/>
  <c r="H16" i="167"/>
  <c r="I16" i="167"/>
  <c r="M4" i="165"/>
  <c r="N4" i="165"/>
  <c r="E26" i="32806"/>
  <c r="D23" i="32806"/>
  <c r="D24" i="32806"/>
  <c r="D21" i="32806"/>
  <c r="D30" i="32806"/>
  <c r="D20" i="32806"/>
  <c r="D19" i="32806"/>
  <c r="D27" i="32806"/>
  <c r="D28" i="32806"/>
  <c r="D29" i="32806"/>
  <c r="D26" i="32806"/>
  <c r="E29" i="32806"/>
  <c r="E23" i="32806"/>
  <c r="I6" i="167"/>
  <c r="J6" i="167"/>
  <c r="M6" i="167"/>
  <c r="E6" i="167"/>
  <c r="F6" i="167"/>
  <c r="H6" i="167"/>
  <c r="D6" i="167"/>
  <c r="N6" i="167"/>
  <c r="L6" i="167"/>
  <c r="E25" i="32806"/>
  <c r="E24" i="32806"/>
  <c r="E20" i="32806"/>
  <c r="F29" i="32806"/>
  <c r="C7" i="167"/>
  <c r="C12" i="167"/>
  <c r="O6" i="167"/>
  <c r="N6" i="32806"/>
  <c r="E18" i="32806"/>
  <c r="E30" i="32806"/>
  <c r="D7" i="167"/>
  <c r="D12" i="167"/>
  <c r="G23" i="32806"/>
  <c r="G29" i="32806"/>
  <c r="G25" i="32806"/>
  <c r="F26" i="32806"/>
  <c r="F25" i="32806"/>
  <c r="G27" i="32806"/>
  <c r="G21" i="32806"/>
  <c r="F20" i="32806"/>
  <c r="F22" i="32806"/>
  <c r="N5" i="32806"/>
  <c r="D18" i="32806"/>
  <c r="G22" i="32806"/>
  <c r="F21" i="32806"/>
  <c r="G24" i="32806"/>
  <c r="G20" i="32806"/>
  <c r="E7" i="167"/>
  <c r="F27" i="32806"/>
  <c r="F24" i="32806"/>
  <c r="F30" i="32806"/>
  <c r="G26" i="32806"/>
  <c r="G19" i="32806"/>
  <c r="F19" i="32806"/>
  <c r="F23" i="32806"/>
  <c r="G28" i="32806"/>
  <c r="F28" i="32806"/>
  <c r="N7" i="32806"/>
  <c r="F18" i="32806"/>
  <c r="G18" i="32806"/>
  <c r="G30" i="32806"/>
  <c r="N8" i="32806"/>
  <c r="E12" i="167"/>
  <c r="F7" i="167"/>
  <c r="F12" i="167"/>
  <c r="G7" i="167"/>
  <c r="G12" i="167"/>
  <c r="H7" i="167"/>
  <c r="C28" i="32806"/>
  <c r="C25" i="32806"/>
  <c r="C19" i="32806"/>
  <c r="C22" i="32806"/>
  <c r="H12" i="167"/>
  <c r="I7" i="167"/>
  <c r="C24" i="32806"/>
  <c r="C23" i="32806"/>
  <c r="C29" i="32806"/>
  <c r="C26" i="32806"/>
  <c r="C27" i="32806"/>
  <c r="C20" i="32806"/>
  <c r="C21" i="32806"/>
  <c r="N4" i="32806"/>
  <c r="C18" i="32806"/>
  <c r="C30" i="32806"/>
  <c r="I12" i="167"/>
  <c r="J7" i="167"/>
  <c r="J12" i="167"/>
  <c r="K7" i="167"/>
  <c r="K12" i="167"/>
  <c r="L7" i="167"/>
  <c r="L12" i="167"/>
  <c r="M7" i="167"/>
  <c r="M12" i="167"/>
  <c r="N7" i="167"/>
  <c r="N12" i="167"/>
  <c r="O51" i="154"/>
  <c r="B7" i="32803"/>
  <c r="B8" i="32803"/>
  <c r="C8" i="32803" s="1"/>
  <c r="D8" i="32803" s="1"/>
  <c r="M3" i="32803"/>
  <c r="M7" i="32803"/>
  <c r="Q285" i="154"/>
  <c r="Q301" i="154"/>
  <c r="Q323" i="154"/>
  <c r="Q324" i="154"/>
  <c r="R324" i="154" s="1"/>
  <c r="E24" i="32807"/>
  <c r="E28" i="32807"/>
  <c r="E26" i="32807"/>
  <c r="E22" i="32807"/>
  <c r="E27" i="32807"/>
  <c r="E21" i="32807"/>
  <c r="E20" i="32807"/>
  <c r="E25" i="32807"/>
  <c r="E29" i="32807"/>
  <c r="E19" i="32807"/>
  <c r="E30" i="32807" s="1"/>
  <c r="E23" i="32807"/>
  <c r="F29" i="32807"/>
  <c r="F22" i="32807"/>
  <c r="F21" i="32807"/>
  <c r="F23" i="32807"/>
  <c r="F25" i="32807"/>
  <c r="F27" i="32807"/>
  <c r="F28" i="32807"/>
  <c r="F26" i="32807"/>
  <c r="F24" i="32807"/>
  <c r="F20" i="32807"/>
  <c r="F19" i="32807"/>
  <c r="E18" i="32807"/>
  <c r="N6" i="32807"/>
  <c r="N7" i="32807"/>
  <c r="F18" i="32807"/>
  <c r="F30" i="32807"/>
  <c r="G28" i="32807"/>
  <c r="G23" i="32807"/>
  <c r="G27" i="32807"/>
  <c r="G22" i="32807"/>
  <c r="G24" i="32807"/>
  <c r="G25" i="32807"/>
  <c r="G20" i="32807"/>
  <c r="G29" i="32807"/>
  <c r="G21" i="32807"/>
  <c r="G30" i="32807" s="1"/>
  <c r="G26" i="32807"/>
  <c r="G19" i="32807"/>
  <c r="C28" i="32807"/>
  <c r="C21" i="32807"/>
  <c r="C22" i="32807"/>
  <c r="C27" i="32807"/>
  <c r="C24" i="32807"/>
  <c r="C19" i="32807"/>
  <c r="C30" i="32807" s="1"/>
  <c r="C23" i="32807"/>
  <c r="C29" i="32807"/>
  <c r="C25" i="32807"/>
  <c r="C26" i="32807"/>
  <c r="C20" i="32807"/>
  <c r="N8" i="32807"/>
  <c r="G18" i="32807"/>
  <c r="N4" i="32807"/>
  <c r="C18" i="32807"/>
  <c r="D26" i="32807"/>
  <c r="D29" i="32807"/>
  <c r="BB68" i="164"/>
  <c r="BB70" i="164" s="1"/>
  <c r="D24" i="32807"/>
  <c r="I11" i="165"/>
  <c r="J11" i="165"/>
  <c r="D25" i="32807"/>
  <c r="D28" i="32807"/>
  <c r="BK68" i="164"/>
  <c r="BB30" i="164"/>
  <c r="BK31" i="164"/>
  <c r="BK30" i="164"/>
  <c r="D27" i="32807"/>
  <c r="D19" i="32807"/>
  <c r="D23" i="32807"/>
  <c r="D21" i="32807"/>
  <c r="D18" i="32807"/>
  <c r="D20" i="32807"/>
  <c r="D22" i="32807"/>
  <c r="N5" i="32807"/>
  <c r="D30" i="32807"/>
  <c r="AD14" i="153"/>
  <c r="AD13" i="153"/>
  <c r="AD4" i="153"/>
  <c r="AL17" i="153"/>
  <c r="AN12" i="153" s="1"/>
  <c r="AO12" i="153" s="1"/>
  <c r="AM26" i="153" s="1"/>
  <c r="G91" i="32809" l="1"/>
  <c r="F91" i="32809"/>
  <c r="D91" i="32809"/>
  <c r="E91" i="32809"/>
  <c r="C91" i="32809"/>
  <c r="N130" i="154"/>
  <c r="C122" i="154"/>
  <c r="E130" i="154"/>
  <c r="L227" i="154"/>
  <c r="M225" i="154"/>
  <c r="C120" i="154"/>
  <c r="C4" i="32803"/>
  <c r="D4" i="32803" s="1"/>
  <c r="E4" i="32803" s="1"/>
  <c r="F4" i="32803" s="1"/>
  <c r="G4" i="32803" s="1"/>
  <c r="H4" i="32803" s="1"/>
  <c r="I4" i="32803" s="1"/>
  <c r="J4" i="32803" s="1"/>
  <c r="K4" i="32803" s="1"/>
  <c r="L4" i="32803" s="1"/>
  <c r="M4" i="32803" s="1"/>
  <c r="H124" i="154"/>
  <c r="E124" i="154"/>
  <c r="K277" i="154"/>
  <c r="L275" i="154"/>
  <c r="D122" i="154"/>
  <c r="D120" i="154"/>
  <c r="I52" i="154"/>
  <c r="I122" i="154"/>
  <c r="I120" i="154"/>
  <c r="L122" i="154"/>
  <c r="L120" i="154"/>
  <c r="F52" i="154"/>
  <c r="N52" i="154"/>
  <c r="J122" i="154"/>
  <c r="J120" i="154"/>
  <c r="M52" i="154"/>
  <c r="E122" i="154"/>
  <c r="E120" i="154"/>
  <c r="M122" i="154"/>
  <c r="M120" i="154"/>
  <c r="E52" i="154"/>
  <c r="E8" i="32803"/>
  <c r="F8" i="32803" s="1"/>
  <c r="G8" i="32803" s="1"/>
  <c r="H8" i="32803" s="1"/>
  <c r="I8" i="32803" s="1"/>
  <c r="J8" i="32803" s="1"/>
  <c r="K8" i="32803" s="1"/>
  <c r="L8" i="32803" s="1"/>
  <c r="M8" i="32803" s="1"/>
  <c r="F122" i="154"/>
  <c r="F120" i="154"/>
  <c r="N122" i="154"/>
  <c r="N120" i="154"/>
  <c r="H52" i="154"/>
  <c r="H122" i="154"/>
  <c r="H120" i="154"/>
  <c r="K122" i="154"/>
  <c r="K120" i="154"/>
  <c r="G122" i="154"/>
  <c r="G120" i="154"/>
  <c r="L325" i="154"/>
  <c r="K327" i="154"/>
  <c r="AG9" i="153"/>
  <c r="AG10" i="153"/>
  <c r="AG11" i="153"/>
  <c r="AG4" i="153"/>
  <c r="AG12" i="153"/>
  <c r="AG5" i="153"/>
  <c r="AG13" i="153"/>
  <c r="AG6" i="153"/>
  <c r="AG14" i="153"/>
  <c r="AG7" i="153"/>
  <c r="AG15" i="153"/>
  <c r="AG8" i="153"/>
  <c r="AA11" i="153"/>
  <c r="AA9" i="153"/>
  <c r="AA7" i="153"/>
  <c r="AA12" i="153"/>
  <c r="AA6" i="153"/>
  <c r="AA15" i="153"/>
  <c r="AA8" i="153"/>
  <c r="AA13" i="153"/>
  <c r="X14" i="153"/>
  <c r="O13" i="153"/>
  <c r="F15" i="153"/>
  <c r="X4" i="153"/>
  <c r="F5" i="153"/>
  <c r="L14" i="153"/>
  <c r="F6" i="153"/>
  <c r="F14" i="153"/>
  <c r="R9" i="153"/>
  <c r="F4" i="153"/>
  <c r="X5" i="153"/>
  <c r="F8" i="153"/>
  <c r="F9" i="153"/>
  <c r="L12" i="153"/>
  <c r="F10" i="153"/>
  <c r="L6" i="153"/>
  <c r="I10" i="153"/>
  <c r="X8" i="153"/>
  <c r="I14" i="153"/>
  <c r="I4" i="153"/>
  <c r="X12" i="153"/>
  <c r="I11" i="153"/>
  <c r="I9" i="153"/>
  <c r="F11" i="153"/>
  <c r="F7" i="153"/>
  <c r="L4" i="153"/>
  <c r="X10" i="153"/>
  <c r="I7" i="153"/>
  <c r="R13" i="153"/>
  <c r="I15" i="153"/>
  <c r="AN13" i="153"/>
  <c r="AO13" i="153" s="1"/>
  <c r="AN26" i="153" s="1"/>
  <c r="R6" i="153"/>
  <c r="X15" i="153"/>
  <c r="R8" i="153"/>
  <c r="X13" i="153"/>
  <c r="R11" i="153"/>
  <c r="X7" i="153"/>
  <c r="I12" i="153"/>
  <c r="O6" i="153"/>
  <c r="O4" i="153"/>
  <c r="U12" i="153"/>
  <c r="AN15" i="153"/>
  <c r="AD12" i="153"/>
  <c r="R10" i="153"/>
  <c r="L5" i="153"/>
  <c r="O5" i="153"/>
  <c r="O12" i="153"/>
  <c r="U8" i="153"/>
  <c r="I8" i="153"/>
  <c r="AN10" i="153"/>
  <c r="AO10" i="153" s="1"/>
  <c r="AO25" i="153" s="1"/>
  <c r="AD11" i="153"/>
  <c r="U11" i="153"/>
  <c r="F13" i="153"/>
  <c r="R5" i="153"/>
  <c r="L13" i="153"/>
  <c r="O8" i="153"/>
  <c r="AA10" i="153"/>
  <c r="AA5" i="153"/>
  <c r="X6" i="153"/>
  <c r="U9" i="153"/>
  <c r="U7" i="153"/>
  <c r="I13" i="153"/>
  <c r="U5" i="153"/>
  <c r="AD8" i="153"/>
  <c r="R14" i="153"/>
  <c r="L10" i="153"/>
  <c r="L7" i="153"/>
  <c r="O9" i="153"/>
  <c r="U15" i="153"/>
  <c r="O15" i="153"/>
  <c r="AA14" i="153"/>
  <c r="O14" i="153"/>
  <c r="AD5" i="153"/>
  <c r="AD15" i="153"/>
  <c r="R12" i="153"/>
  <c r="R7" i="153"/>
  <c r="L11" i="153"/>
  <c r="L15" i="153"/>
  <c r="O10" i="153"/>
  <c r="X11" i="153"/>
  <c r="U14" i="153"/>
  <c r="I5" i="153"/>
  <c r="U6" i="153"/>
  <c r="AN7" i="153"/>
  <c r="AO7" i="153" s="1"/>
  <c r="AP24" i="153" s="1"/>
  <c r="AN6" i="153"/>
  <c r="AO6" i="153" s="1"/>
  <c r="AO24" i="153" s="1"/>
  <c r="U4" i="153"/>
  <c r="AD10" i="153"/>
  <c r="AD6" i="153"/>
  <c r="U10" i="153"/>
  <c r="R4" i="153"/>
  <c r="L9" i="153"/>
  <c r="O7" i="153"/>
  <c r="AD9" i="153"/>
  <c r="BN6" i="164"/>
  <c r="BO44" i="164" s="1"/>
  <c r="BM6" i="164"/>
  <c r="BN19" i="164"/>
  <c r="BN17" i="164"/>
  <c r="BO55" i="164" s="1"/>
  <c r="BM19" i="164"/>
  <c r="BM17" i="164"/>
  <c r="BN57" i="164"/>
  <c r="BN59" i="164"/>
  <c r="BM65" i="164"/>
  <c r="BM52" i="164"/>
  <c r="BN65" i="164"/>
  <c r="M11" i="165" s="1"/>
  <c r="BN52" i="164"/>
  <c r="G11" i="165" s="1"/>
  <c r="BN63" i="164"/>
  <c r="BM50" i="164"/>
  <c r="BN61" i="164"/>
  <c r="BM63" i="164"/>
  <c r="BN50" i="164"/>
  <c r="BM61" i="164"/>
  <c r="BM48" i="164"/>
  <c r="BN44" i="164"/>
  <c r="BN48" i="164"/>
  <c r="BM44" i="164"/>
  <c r="BM57" i="164"/>
  <c r="BM59" i="164"/>
  <c r="BN55" i="164"/>
  <c r="BN67" i="164"/>
  <c r="N11" i="165" s="1"/>
  <c r="BM55" i="164"/>
  <c r="BN46" i="164"/>
  <c r="BM67" i="164"/>
  <c r="M5" i="32810" s="1"/>
  <c r="D29" i="32810" s="1"/>
  <c r="BM46" i="164"/>
  <c r="C5" i="32810" s="1"/>
  <c r="D19" i="32810" s="1"/>
  <c r="AH74" i="164"/>
  <c r="AB34" i="164"/>
  <c r="AV32" i="164"/>
  <c r="D28" i="32808"/>
  <c r="L5" i="32810"/>
  <c r="D28" i="32810" s="1"/>
  <c r="M72" i="164"/>
  <c r="S54" i="164"/>
  <c r="G67" i="164"/>
  <c r="G59" i="164"/>
  <c r="G51" i="164"/>
  <c r="G43" i="164"/>
  <c r="S19" i="164"/>
  <c r="G8" i="164"/>
  <c r="G4" i="164"/>
  <c r="G54" i="164"/>
  <c r="S24" i="164"/>
  <c r="S58" i="164"/>
  <c r="S26" i="164"/>
  <c r="AB72" i="164"/>
  <c r="AH72" i="164" s="1"/>
  <c r="M57" i="164"/>
  <c r="P29" i="164"/>
  <c r="P49" i="164"/>
  <c r="Y42" i="164"/>
  <c r="P63" i="164"/>
  <c r="P43" i="164"/>
  <c r="P60" i="164"/>
  <c r="P52" i="164"/>
  <c r="P44" i="164"/>
  <c r="P16" i="164"/>
  <c r="P67" i="164"/>
  <c r="P11" i="164"/>
  <c r="S52" i="164"/>
  <c r="S66" i="164"/>
  <c r="S57" i="164"/>
  <c r="S49" i="164"/>
  <c r="M29" i="164"/>
  <c r="G19" i="164"/>
  <c r="M7" i="164"/>
  <c r="M64" i="164"/>
  <c r="M20" i="164"/>
  <c r="G52" i="164"/>
  <c r="M6" i="164"/>
  <c r="G72" i="164"/>
  <c r="M14" i="164"/>
  <c r="G58" i="164"/>
  <c r="M25" i="164"/>
  <c r="M4" i="164"/>
  <c r="P28" i="164"/>
  <c r="S62" i="164"/>
  <c r="G12" i="164"/>
  <c r="M47" i="164"/>
  <c r="M66" i="164"/>
  <c r="S20" i="164"/>
  <c r="AB74" i="164"/>
  <c r="M5" i="164"/>
  <c r="J33" i="164"/>
  <c r="S46" i="164"/>
  <c r="G49" i="164"/>
  <c r="S65" i="164"/>
  <c r="G60" i="164"/>
  <c r="S73" i="164"/>
  <c r="G17" i="164"/>
  <c r="G42" i="164"/>
  <c r="AH33" i="164"/>
  <c r="AB71" i="164"/>
  <c r="S63" i="164"/>
  <c r="S47" i="164"/>
  <c r="S48" i="164"/>
  <c r="G23" i="164"/>
  <c r="M45" i="164"/>
  <c r="D71" i="164"/>
  <c r="P27" i="164"/>
  <c r="P55" i="164"/>
  <c r="Y54" i="164"/>
  <c r="Y45" i="164"/>
  <c r="P53" i="164"/>
  <c r="P23" i="164"/>
  <c r="G74" i="164"/>
  <c r="S21" i="164"/>
  <c r="G63" i="164"/>
  <c r="G55" i="164"/>
  <c r="G47" i="164"/>
  <c r="M26" i="164"/>
  <c r="M12" i="164"/>
  <c r="Y46" i="164"/>
  <c r="M52" i="164"/>
  <c r="G9" i="164"/>
  <c r="G27" i="164"/>
  <c r="G25" i="164"/>
  <c r="G6" i="164"/>
  <c r="G50" i="164"/>
  <c r="S13" i="164"/>
  <c r="G7" i="164"/>
  <c r="G15" i="164"/>
  <c r="S23" i="164"/>
  <c r="S29" i="164"/>
  <c r="M51" i="164"/>
  <c r="D74" i="164"/>
  <c r="S6" i="164"/>
  <c r="V71" i="164"/>
  <c r="G66" i="164"/>
  <c r="S28" i="164"/>
  <c r="S44" i="164"/>
  <c r="S12" i="164"/>
  <c r="S25" i="164"/>
  <c r="G28" i="164"/>
  <c r="G44" i="164"/>
  <c r="G21" i="164"/>
  <c r="S18" i="164"/>
  <c r="D73" i="164"/>
  <c r="P61" i="164"/>
  <c r="P4" i="164"/>
  <c r="Y51" i="164"/>
  <c r="Y49" i="164"/>
  <c r="P51" i="164"/>
  <c r="P18" i="164"/>
  <c r="P64" i="164"/>
  <c r="P56" i="164"/>
  <c r="P48" i="164"/>
  <c r="P24" i="164"/>
  <c r="P10" i="164"/>
  <c r="P22" i="164"/>
  <c r="S74" i="164"/>
  <c r="S5" i="164"/>
  <c r="S61" i="164"/>
  <c r="S53" i="164"/>
  <c r="S45" i="164"/>
  <c r="M23" i="164"/>
  <c r="S11" i="164"/>
  <c r="Y44" i="164"/>
  <c r="G48" i="164"/>
  <c r="G5" i="164"/>
  <c r="G24" i="164"/>
  <c r="M42" i="164"/>
  <c r="G10" i="164"/>
  <c r="M54" i="164"/>
  <c r="S17" i="164"/>
  <c r="Y52" i="164"/>
  <c r="S7" i="164"/>
  <c r="S15" i="164"/>
  <c r="P47" i="164"/>
  <c r="Y62" i="164"/>
  <c r="AV69" i="164"/>
  <c r="AV70" i="164" s="1"/>
  <c r="G57" i="164"/>
  <c r="G16" i="164"/>
  <c r="S4" i="164"/>
  <c r="D24" i="32808"/>
  <c r="H5" i="32810"/>
  <c r="D24" i="32810" s="1"/>
  <c r="S55" i="164"/>
  <c r="G56" i="164"/>
  <c r="S72" i="164"/>
  <c r="G65" i="164"/>
  <c r="G29" i="164"/>
  <c r="S60" i="164"/>
  <c r="S42" i="164"/>
  <c r="M8" i="164"/>
  <c r="P5" i="164"/>
  <c r="Y63" i="164"/>
  <c r="Y48" i="164"/>
  <c r="G73" i="164"/>
  <c r="P15" i="164"/>
  <c r="P19" i="164"/>
  <c r="S64" i="164"/>
  <c r="G61" i="164"/>
  <c r="G53" i="164"/>
  <c r="G45" i="164"/>
  <c r="S22" i="164"/>
  <c r="G11" i="164"/>
  <c r="S27" i="164"/>
  <c r="M44" i="164"/>
  <c r="G64" i="164"/>
  <c r="G20" i="164"/>
  <c r="G46" i="164"/>
  <c r="G14" i="164"/>
  <c r="M58" i="164"/>
  <c r="M43" i="164"/>
  <c r="S10" i="164"/>
  <c r="S50" i="164"/>
  <c r="AN11" i="153"/>
  <c r="AO11" i="153" s="1"/>
  <c r="AP25" i="153" s="1"/>
  <c r="AN9" i="153"/>
  <c r="AO9" i="153" s="1"/>
  <c r="AN25" i="153" s="1"/>
  <c r="AN14" i="153"/>
  <c r="AO14" i="153" s="1"/>
  <c r="AO26" i="153" s="1"/>
  <c r="AN8" i="153"/>
  <c r="AO8" i="153" s="1"/>
  <c r="AM25" i="153" s="1"/>
  <c r="AN4" i="153"/>
  <c r="AO4" i="153" s="1"/>
  <c r="AN5" i="153"/>
  <c r="AO5" i="153" s="1"/>
  <c r="AN24" i="153" s="1"/>
  <c r="N89" i="32809"/>
  <c r="N91" i="32809"/>
  <c r="N87" i="32809"/>
  <c r="M130" i="154"/>
  <c r="M124" i="154"/>
  <c r="H30" i="32808"/>
  <c r="B5" i="32810"/>
  <c r="BN8" i="164"/>
  <c r="BO46" i="164" s="1"/>
  <c r="C11" i="165"/>
  <c r="D29" i="32808"/>
  <c r="D19" i="32808"/>
  <c r="D18" i="32808"/>
  <c r="BN29" i="164"/>
  <c r="BO67" i="164" s="1"/>
  <c r="BO57" i="164"/>
  <c r="BN27" i="164"/>
  <c r="BO65" i="164" s="1"/>
  <c r="BM21" i="164"/>
  <c r="BM12" i="164"/>
  <c r="BM25" i="164"/>
  <c r="BN12" i="164"/>
  <c r="BO50" i="164" s="1"/>
  <c r="BM10" i="164"/>
  <c r="BN21" i="164"/>
  <c r="BO59" i="164" s="1"/>
  <c r="BM23" i="164"/>
  <c r="BM8" i="164"/>
  <c r="BN25" i="164"/>
  <c r="BO63" i="164" s="1"/>
  <c r="BN23" i="164"/>
  <c r="BO61" i="164" s="1"/>
  <c r="BN14" i="164"/>
  <c r="BO52" i="164" s="1"/>
  <c r="BM29" i="164"/>
  <c r="BM27" i="164"/>
  <c r="BN10" i="164"/>
  <c r="BO48" i="164" s="1"/>
  <c r="BM14" i="164"/>
  <c r="C89" i="32809"/>
  <c r="C87" i="32809"/>
  <c r="D89" i="32809"/>
  <c r="D87" i="32809"/>
  <c r="E87" i="32809"/>
  <c r="E89" i="32809"/>
  <c r="H89" i="32809"/>
  <c r="H87" i="32809"/>
  <c r="I89" i="32809"/>
  <c r="I87" i="32809"/>
  <c r="F89" i="32809"/>
  <c r="F87" i="32809"/>
  <c r="G89" i="32809"/>
  <c r="G87" i="32809"/>
  <c r="K89" i="32809"/>
  <c r="H34" i="32809"/>
  <c r="G34" i="32809"/>
  <c r="I34" i="32809"/>
  <c r="N34" i="32809"/>
  <c r="F34" i="32809"/>
  <c r="M34" i="32809"/>
  <c r="E34" i="32809"/>
  <c r="L34" i="32809"/>
  <c r="D34" i="32809"/>
  <c r="C34" i="32809"/>
  <c r="J34" i="32809"/>
  <c r="J89" i="32809"/>
  <c r="J87" i="32809"/>
  <c r="J91" i="32809"/>
  <c r="O36" i="32809"/>
  <c r="M89" i="32809"/>
  <c r="L89" i="32809"/>
  <c r="L130" i="154"/>
  <c r="L124" i="154"/>
  <c r="K87" i="32809"/>
  <c r="K91" i="32809"/>
  <c r="L87" i="32809"/>
  <c r="L91" i="32809"/>
  <c r="M87" i="32809"/>
  <c r="M91" i="32809"/>
  <c r="N134" i="32809"/>
  <c r="N136" i="32809" s="1"/>
  <c r="G134" i="32809"/>
  <c r="G136" i="32809" s="1"/>
  <c r="C136" i="32809"/>
  <c r="D134" i="32809"/>
  <c r="D136" i="32809" s="1"/>
  <c r="M134" i="32809"/>
  <c r="M136" i="32809" s="1"/>
  <c r="H134" i="32809"/>
  <c r="H136" i="32809" s="1"/>
  <c r="I134" i="32809"/>
  <c r="I136" i="32809" s="1"/>
  <c r="E134" i="32809"/>
  <c r="E136" i="32809" s="1"/>
  <c r="K134" i="32809"/>
  <c r="K136" i="32809" s="1"/>
  <c r="F134" i="32809"/>
  <c r="F136" i="32809" s="1"/>
  <c r="O133" i="32809"/>
  <c r="O18" i="32809"/>
  <c r="I19" i="32809" s="1"/>
  <c r="O3" i="32809"/>
  <c r="I37" i="32809"/>
  <c r="O21" i="32809"/>
  <c r="K22" i="32809" s="1"/>
  <c r="O42" i="32809"/>
  <c r="F43" i="32809" s="1"/>
  <c r="O66" i="32809"/>
  <c r="J67" i="32809" s="1"/>
  <c r="O9" i="32809"/>
  <c r="M10" i="32809" s="1"/>
  <c r="O84" i="32809"/>
  <c r="K85" i="32809" s="1"/>
  <c r="G93" i="32809"/>
  <c r="H95" i="32809"/>
  <c r="O75" i="32809"/>
  <c r="L76" i="32809" s="1"/>
  <c r="O12" i="32809"/>
  <c r="O15" i="32809"/>
  <c r="E16" i="32809" s="1"/>
  <c r="H93" i="32809"/>
  <c r="O27" i="32809"/>
  <c r="D28" i="32809" s="1"/>
  <c r="O45" i="32809"/>
  <c r="M46" i="32809" s="1"/>
  <c r="O57" i="32809"/>
  <c r="O24" i="32809"/>
  <c r="D25" i="32809" s="1"/>
  <c r="O30" i="32809"/>
  <c r="F31" i="32809" s="1"/>
  <c r="O48" i="32809"/>
  <c r="N49" i="32809" s="1"/>
  <c r="O81" i="32809"/>
  <c r="I82" i="32809" s="1"/>
  <c r="E93" i="32809"/>
  <c r="M93" i="32809"/>
  <c r="O72" i="32809"/>
  <c r="H73" i="32809" s="1"/>
  <c r="O63" i="32809"/>
  <c r="I64" i="32809" s="1"/>
  <c r="O51" i="32809"/>
  <c r="K52" i="32809" s="1"/>
  <c r="O54" i="32809"/>
  <c r="H55" i="32809" s="1"/>
  <c r="F95" i="32809"/>
  <c r="N95" i="32809"/>
  <c r="O69" i="32809"/>
  <c r="J70" i="32809" s="1"/>
  <c r="O39" i="32809"/>
  <c r="N40" i="32809" s="1"/>
  <c r="O60" i="32809"/>
  <c r="D61" i="32809" s="1"/>
  <c r="O78" i="32809"/>
  <c r="J79" i="32809" s="1"/>
  <c r="C95" i="32809"/>
  <c r="I130" i="154"/>
  <c r="I124" i="154"/>
  <c r="H130" i="154"/>
  <c r="O24" i="154"/>
  <c r="F25" i="154" s="1"/>
  <c r="F130" i="154"/>
  <c r="O33" i="154"/>
  <c r="J34" i="154" s="1"/>
  <c r="Q224" i="154"/>
  <c r="O69" i="154"/>
  <c r="H70" i="154" s="1"/>
  <c r="O27" i="154"/>
  <c r="E28" i="154" s="1"/>
  <c r="C52" i="154"/>
  <c r="G52" i="154"/>
  <c r="J52" i="154"/>
  <c r="K52" i="154"/>
  <c r="O36" i="154"/>
  <c r="N37" i="154" s="1"/>
  <c r="O66" i="154"/>
  <c r="G67" i="154" s="1"/>
  <c r="O99" i="154"/>
  <c r="J100" i="154" s="1"/>
  <c r="O75" i="154"/>
  <c r="N76" i="154" s="1"/>
  <c r="D52" i="154"/>
  <c r="L52" i="154"/>
  <c r="O60" i="154"/>
  <c r="N61" i="154" s="1"/>
  <c r="O15" i="154"/>
  <c r="J16" i="154" s="1"/>
  <c r="O105" i="154"/>
  <c r="N106" i="154" s="1"/>
  <c r="O45" i="154"/>
  <c r="J46" i="154" s="1"/>
  <c r="O21" i="154"/>
  <c r="J22" i="154" s="1"/>
  <c r="O90" i="154"/>
  <c r="K91" i="154" s="1"/>
  <c r="O102" i="154"/>
  <c r="K103" i="154" s="1"/>
  <c r="O84" i="154"/>
  <c r="O18" i="154"/>
  <c r="C19" i="154" s="1"/>
  <c r="O3" i="154"/>
  <c r="F4" i="154" s="1"/>
  <c r="O12" i="154"/>
  <c r="G13" i="154" s="1"/>
  <c r="O114" i="154"/>
  <c r="C115" i="154" s="1"/>
  <c r="O42" i="154"/>
  <c r="N43" i="154" s="1"/>
  <c r="O30" i="154"/>
  <c r="F31" i="154" s="1"/>
  <c r="O6" i="154"/>
  <c r="I7" i="154" s="1"/>
  <c r="O81" i="154"/>
  <c r="C82" i="154" s="1"/>
  <c r="O57" i="154"/>
  <c r="N58" i="154" s="1"/>
  <c r="O39" i="154"/>
  <c r="C40" i="154" s="1"/>
  <c r="O96" i="154"/>
  <c r="C97" i="154" s="1"/>
  <c r="O78" i="154"/>
  <c r="E79" i="154" s="1"/>
  <c r="O72" i="154"/>
  <c r="F73" i="154" s="1"/>
  <c r="O54" i="154"/>
  <c r="G55" i="154" s="1"/>
  <c r="O48" i="154"/>
  <c r="J49" i="154" s="1"/>
  <c r="J130" i="154"/>
  <c r="O174" i="154"/>
  <c r="O117" i="154"/>
  <c r="K118" i="154" s="1"/>
  <c r="O111" i="154"/>
  <c r="O87" i="154"/>
  <c r="K88" i="154" s="1"/>
  <c r="O63" i="154"/>
  <c r="I64" i="154" s="1"/>
  <c r="O9" i="154"/>
  <c r="K10" i="154" s="1"/>
  <c r="F124" i="154"/>
  <c r="N124" i="154"/>
  <c r="K124" i="154"/>
  <c r="J124" i="154"/>
  <c r="D124" i="154"/>
  <c r="G124" i="154"/>
  <c r="G130" i="154"/>
  <c r="K130" i="154"/>
  <c r="D126" i="154"/>
  <c r="D130" i="154"/>
  <c r="L106" i="154"/>
  <c r="O108" i="154"/>
  <c r="O93" i="154"/>
  <c r="C124" i="154"/>
  <c r="C177" i="154"/>
  <c r="D175" i="154"/>
  <c r="D115" i="154" l="1"/>
  <c r="F115" i="154"/>
  <c r="G106" i="154"/>
  <c r="F97" i="154"/>
  <c r="J115" i="154"/>
  <c r="M227" i="154"/>
  <c r="N225" i="154"/>
  <c r="N227" i="154" s="1"/>
  <c r="E115" i="154"/>
  <c r="D85" i="154"/>
  <c r="L277" i="154"/>
  <c r="M275" i="154"/>
  <c r="M19" i="154"/>
  <c r="I19" i="154"/>
  <c r="O120" i="154"/>
  <c r="M325" i="154"/>
  <c r="L327" i="154"/>
  <c r="N112" i="154"/>
  <c r="H106" i="154"/>
  <c r="G115" i="154"/>
  <c r="I115" i="154"/>
  <c r="K115" i="154"/>
  <c r="L115" i="154"/>
  <c r="N115" i="154"/>
  <c r="H115" i="154"/>
  <c r="M115" i="154"/>
  <c r="F106" i="154"/>
  <c r="D25" i="32808"/>
  <c r="I5" i="32810"/>
  <c r="D25" i="32810" s="1"/>
  <c r="AH71" i="164"/>
  <c r="BK69" i="164"/>
  <c r="BK70" i="164" s="1"/>
  <c r="D23" i="32808"/>
  <c r="G5" i="32810"/>
  <c r="D23" i="32810" s="1"/>
  <c r="D18" i="32810"/>
  <c r="D21" i="32808"/>
  <c r="E5" i="32810"/>
  <c r="D21" i="32810" s="1"/>
  <c r="Y68" i="164"/>
  <c r="D20" i="32808"/>
  <c r="D5" i="32810"/>
  <c r="D20" i="32810" s="1"/>
  <c r="AE34" i="164"/>
  <c r="AH34" i="164" s="1"/>
  <c r="D27" i="32808"/>
  <c r="K5" i="32810"/>
  <c r="D27" i="32810" s="1"/>
  <c r="P68" i="164"/>
  <c r="D26" i="32808"/>
  <c r="J5" i="32810"/>
  <c r="D26" i="32810" s="1"/>
  <c r="D22" i="32808"/>
  <c r="F5" i="32810"/>
  <c r="D22" i="32810" s="1"/>
  <c r="S68" i="164"/>
  <c r="AN17" i="153"/>
  <c r="F103" i="154"/>
  <c r="N5" i="32808"/>
  <c r="D30" i="32808"/>
  <c r="O11" i="165"/>
  <c r="BN68" i="164"/>
  <c r="BM68" i="164"/>
  <c r="BM30" i="164"/>
  <c r="BN30" i="164"/>
  <c r="L58" i="32809"/>
  <c r="O97" i="32809"/>
  <c r="F13" i="32809"/>
  <c r="O89" i="32809"/>
  <c r="C103" i="154"/>
  <c r="D4" i="32809"/>
  <c r="O87" i="32809"/>
  <c r="O91" i="32809"/>
  <c r="D10" i="32809"/>
  <c r="H82" i="32809"/>
  <c r="K37" i="32809"/>
  <c r="M37" i="32809"/>
  <c r="E4" i="32809"/>
  <c r="N67" i="32809"/>
  <c r="I67" i="32809"/>
  <c r="H58" i="32809"/>
  <c r="D19" i="32809"/>
  <c r="F19" i="32809"/>
  <c r="E19" i="32809"/>
  <c r="M19" i="32809"/>
  <c r="K19" i="32809"/>
  <c r="C19" i="32809"/>
  <c r="G19" i="32809"/>
  <c r="G13" i="32809"/>
  <c r="L4" i="32809"/>
  <c r="H19" i="32809"/>
  <c r="K13" i="32809"/>
  <c r="J19" i="32809"/>
  <c r="D37" i="32809"/>
  <c r="I40" i="32809"/>
  <c r="H49" i="32809"/>
  <c r="N19" i="32809"/>
  <c r="L19" i="32809"/>
  <c r="C28" i="32809"/>
  <c r="K82" i="32809"/>
  <c r="C37" i="32809"/>
  <c r="D46" i="32809"/>
  <c r="I43" i="32809"/>
  <c r="J46" i="32809"/>
  <c r="H4" i="32809"/>
  <c r="C4" i="32809"/>
  <c r="I4" i="32809"/>
  <c r="G67" i="32809"/>
  <c r="D58" i="32809"/>
  <c r="D67" i="32809"/>
  <c r="E58" i="32809"/>
  <c r="E67" i="32809"/>
  <c r="E49" i="32809"/>
  <c r="J28" i="32809"/>
  <c r="C67" i="32809"/>
  <c r="H67" i="32809"/>
  <c r="N22" i="32809"/>
  <c r="F67" i="32809"/>
  <c r="H28" i="32809"/>
  <c r="M67" i="32809"/>
  <c r="F28" i="32809"/>
  <c r="C49" i="32809"/>
  <c r="F61" i="32809"/>
  <c r="G58" i="32809"/>
  <c r="F4" i="32809"/>
  <c r="G4" i="32809"/>
  <c r="J4" i="32809"/>
  <c r="N4" i="32809"/>
  <c r="M4" i="32809"/>
  <c r="N16" i="32809"/>
  <c r="K10" i="32809"/>
  <c r="G10" i="32809"/>
  <c r="F10" i="32809"/>
  <c r="H76" i="32809"/>
  <c r="I73" i="32809"/>
  <c r="N73" i="32809"/>
  <c r="G73" i="32809"/>
  <c r="C10" i="32809"/>
  <c r="L85" i="32809"/>
  <c r="L61" i="32809"/>
  <c r="D22" i="32809"/>
  <c r="J22" i="32809"/>
  <c r="C43" i="32809"/>
  <c r="I55" i="32809"/>
  <c r="K43" i="32809"/>
  <c r="M58" i="32809"/>
  <c r="K4" i="32809"/>
  <c r="C22" i="32809"/>
  <c r="E37" i="32809"/>
  <c r="J10" i="32809"/>
  <c r="N10" i="32809"/>
  <c r="I85" i="32809"/>
  <c r="D43" i="32809"/>
  <c r="L22" i="32809"/>
  <c r="F22" i="32809"/>
  <c r="G22" i="32809"/>
  <c r="F16" i="32809"/>
  <c r="M22" i="32809"/>
  <c r="I22" i="32809"/>
  <c r="L10" i="32809"/>
  <c r="J61" i="32809"/>
  <c r="E76" i="32809"/>
  <c r="G55" i="32809"/>
  <c r="C40" i="32809"/>
  <c r="E22" i="32809"/>
  <c r="H22" i="32809"/>
  <c r="C79" i="32809"/>
  <c r="H85" i="32809"/>
  <c r="F70" i="32809"/>
  <c r="F40" i="32809"/>
  <c r="M70" i="32809"/>
  <c r="M25" i="32809"/>
  <c r="C61" i="32809"/>
  <c r="C70" i="32809"/>
  <c r="F79" i="32809"/>
  <c r="L67" i="32809"/>
  <c r="N28" i="32809"/>
  <c r="N61" i="32809"/>
  <c r="N46" i="32809"/>
  <c r="D85" i="32809"/>
  <c r="J13" i="32809"/>
  <c r="I10" i="32809"/>
  <c r="E10" i="32809"/>
  <c r="K67" i="32809"/>
  <c r="E85" i="32809"/>
  <c r="N85" i="32809"/>
  <c r="L40" i="32809"/>
  <c r="M85" i="32809"/>
  <c r="N70" i="32809"/>
  <c r="M43" i="32809"/>
  <c r="J43" i="32809"/>
  <c r="H37" i="32809"/>
  <c r="G37" i="32809"/>
  <c r="N37" i="32809"/>
  <c r="N55" i="32809"/>
  <c r="F85" i="32809"/>
  <c r="H43" i="32809"/>
  <c r="G43" i="32809"/>
  <c r="E43" i="32809"/>
  <c r="L25" i="32809"/>
  <c r="L43" i="32809"/>
  <c r="J40" i="32809"/>
  <c r="D82" i="32809"/>
  <c r="N43" i="32809"/>
  <c r="J37" i="32809"/>
  <c r="G76" i="32809"/>
  <c r="F55" i="32809"/>
  <c r="J85" i="32809"/>
  <c r="C85" i="32809"/>
  <c r="E61" i="32809"/>
  <c r="K28" i="32809"/>
  <c r="L37" i="32809"/>
  <c r="G85" i="32809"/>
  <c r="F37" i="32809"/>
  <c r="H10" i="32809"/>
  <c r="I31" i="32809"/>
  <c r="E31" i="32809"/>
  <c r="M31" i="32809"/>
  <c r="H31" i="32809"/>
  <c r="G52" i="32809"/>
  <c r="N52" i="32809"/>
  <c r="M52" i="32809"/>
  <c r="F52" i="32809"/>
  <c r="E52" i="32809"/>
  <c r="J52" i="32809"/>
  <c r="M99" i="32809"/>
  <c r="I52" i="32809"/>
  <c r="C52" i="32809"/>
  <c r="M79" i="32809"/>
  <c r="D31" i="32809"/>
  <c r="D79" i="32809"/>
  <c r="H16" i="32809"/>
  <c r="M16" i="32809"/>
  <c r="N99" i="32809"/>
  <c r="K76" i="32809"/>
  <c r="C76" i="32809"/>
  <c r="I76" i="32809"/>
  <c r="J76" i="32809"/>
  <c r="N76" i="32809"/>
  <c r="F76" i="32809"/>
  <c r="K99" i="32809"/>
  <c r="G64" i="32809"/>
  <c r="F64" i="32809"/>
  <c r="E64" i="32809"/>
  <c r="N64" i="32809"/>
  <c r="M64" i="32809"/>
  <c r="J64" i="32809"/>
  <c r="D64" i="32809"/>
  <c r="L64" i="32809"/>
  <c r="G31" i="32809"/>
  <c r="L79" i="32809"/>
  <c r="K46" i="32809"/>
  <c r="C46" i="32809"/>
  <c r="H46" i="32809"/>
  <c r="I46" i="32809"/>
  <c r="F46" i="32809"/>
  <c r="E13" i="32809"/>
  <c r="L13" i="32809"/>
  <c r="H13" i="32809"/>
  <c r="D13" i="32809"/>
  <c r="C13" i="32809"/>
  <c r="M13" i="32809"/>
  <c r="D76" i="32809"/>
  <c r="L99" i="32809"/>
  <c r="C99" i="32809"/>
  <c r="C64" i="32809"/>
  <c r="E25" i="32809"/>
  <c r="K61" i="32809"/>
  <c r="E99" i="32809"/>
  <c r="E70" i="32809"/>
  <c r="D99" i="32809"/>
  <c r="M76" i="32809"/>
  <c r="J31" i="32809"/>
  <c r="E46" i="32809"/>
  <c r="H99" i="32809"/>
  <c r="H52" i="32809"/>
  <c r="K58" i="32809"/>
  <c r="C58" i="32809"/>
  <c r="I58" i="32809"/>
  <c r="J58" i="32809"/>
  <c r="N58" i="32809"/>
  <c r="F58" i="32809"/>
  <c r="F99" i="32809"/>
  <c r="D52" i="32809"/>
  <c r="I79" i="32809"/>
  <c r="G79" i="32809"/>
  <c r="H79" i="32809"/>
  <c r="L31" i="32809"/>
  <c r="M73" i="32809"/>
  <c r="E73" i="32809"/>
  <c r="D73" i="32809"/>
  <c r="L73" i="32809"/>
  <c r="K73" i="32809"/>
  <c r="J73" i="32809"/>
  <c r="C73" i="32809"/>
  <c r="J99" i="32809"/>
  <c r="O93" i="32809"/>
  <c r="G94" i="32809" s="1"/>
  <c r="N25" i="32809"/>
  <c r="C25" i="32809"/>
  <c r="J25" i="32809"/>
  <c r="K25" i="32809"/>
  <c r="F25" i="32809"/>
  <c r="G16" i="32809"/>
  <c r="C16" i="32809"/>
  <c r="L16" i="32809"/>
  <c r="K16" i="32809"/>
  <c r="F73" i="32809"/>
  <c r="E79" i="32809"/>
  <c r="I25" i="32809"/>
  <c r="G82" i="32809"/>
  <c r="F82" i="32809"/>
  <c r="E82" i="32809"/>
  <c r="N82" i="32809"/>
  <c r="M82" i="32809"/>
  <c r="J82" i="32809"/>
  <c r="L82" i="32809"/>
  <c r="C31" i="32809"/>
  <c r="J16" i="32809"/>
  <c r="M28" i="32809"/>
  <c r="I28" i="32809"/>
  <c r="L28" i="32809"/>
  <c r="D16" i="32809"/>
  <c r="G28" i="32809"/>
  <c r="I49" i="32809"/>
  <c r="G49" i="32809"/>
  <c r="J49" i="32809"/>
  <c r="F49" i="32809"/>
  <c r="D49" i="32809"/>
  <c r="L49" i="32809"/>
  <c r="G99" i="32809"/>
  <c r="K31" i="32809"/>
  <c r="G25" i="32809"/>
  <c r="L52" i="32809"/>
  <c r="K40" i="32809"/>
  <c r="G40" i="32809"/>
  <c r="E40" i="32809"/>
  <c r="D40" i="32809"/>
  <c r="M40" i="32809"/>
  <c r="H40" i="32809"/>
  <c r="G46" i="32809"/>
  <c r="I61" i="32809"/>
  <c r="G61" i="32809"/>
  <c r="H61" i="32809"/>
  <c r="K79" i="32809"/>
  <c r="I70" i="32809"/>
  <c r="D70" i="32809"/>
  <c r="L70" i="32809"/>
  <c r="H70" i="32809"/>
  <c r="G70" i="32809"/>
  <c r="K49" i="32809"/>
  <c r="K70" i="32809"/>
  <c r="M55" i="32809"/>
  <c r="E55" i="32809"/>
  <c r="D55" i="32809"/>
  <c r="L55" i="32809"/>
  <c r="O95" i="32809"/>
  <c r="C96" i="32809" s="1"/>
  <c r="J55" i="32809"/>
  <c r="K55" i="32809"/>
  <c r="C55" i="32809"/>
  <c r="N31" i="32809"/>
  <c r="K64" i="32809"/>
  <c r="N79" i="32809"/>
  <c r="M61" i="32809"/>
  <c r="H64" i="32809"/>
  <c r="M49" i="32809"/>
  <c r="C82" i="32809"/>
  <c r="I16" i="32809"/>
  <c r="I99" i="32809"/>
  <c r="L46" i="32809"/>
  <c r="H25" i="32809"/>
  <c r="N13" i="32809"/>
  <c r="E28" i="32809"/>
  <c r="I13" i="32809"/>
  <c r="N46" i="154"/>
  <c r="J19" i="154"/>
  <c r="N19" i="154"/>
  <c r="F19" i="154"/>
  <c r="H19" i="154"/>
  <c r="D97" i="154"/>
  <c r="M88" i="154"/>
  <c r="C88" i="154"/>
  <c r="H46" i="154"/>
  <c r="M25" i="154"/>
  <c r="I132" i="154"/>
  <c r="E25" i="154"/>
  <c r="L25" i="154"/>
  <c r="I25" i="154"/>
  <c r="H25" i="154"/>
  <c r="K25" i="154"/>
  <c r="D25" i="154"/>
  <c r="C25" i="154"/>
  <c r="J25" i="154"/>
  <c r="D22" i="154"/>
  <c r="L103" i="154"/>
  <c r="G103" i="154"/>
  <c r="F88" i="154"/>
  <c r="N88" i="154"/>
  <c r="H34" i="154"/>
  <c r="I34" i="154"/>
  <c r="G34" i="154"/>
  <c r="G25" i="154"/>
  <c r="N25" i="154"/>
  <c r="E82" i="154"/>
  <c r="I67" i="154"/>
  <c r="L61" i="154"/>
  <c r="E132" i="154"/>
  <c r="C34" i="154"/>
  <c r="J13" i="154"/>
  <c r="I13" i="154"/>
  <c r="I118" i="154"/>
  <c r="L118" i="154"/>
  <c r="M100" i="154"/>
  <c r="C100" i="154"/>
  <c r="I100" i="154"/>
  <c r="H100" i="154"/>
  <c r="F100" i="154"/>
  <c r="E100" i="154"/>
  <c r="N100" i="154"/>
  <c r="K100" i="154"/>
  <c r="D100" i="154"/>
  <c r="L100" i="154"/>
  <c r="G100" i="154"/>
  <c r="N82" i="154"/>
  <c r="H61" i="154"/>
  <c r="M55" i="154"/>
  <c r="L46" i="154"/>
  <c r="E46" i="154"/>
  <c r="G46" i="154"/>
  <c r="K46" i="154"/>
  <c r="H40" i="154"/>
  <c r="N40" i="154"/>
  <c r="F40" i="154"/>
  <c r="J37" i="154"/>
  <c r="J28" i="154"/>
  <c r="F28" i="154"/>
  <c r="H28" i="154"/>
  <c r="I28" i="154"/>
  <c r="G28" i="154"/>
  <c r="K28" i="154"/>
  <c r="M22" i="154"/>
  <c r="L19" i="154"/>
  <c r="K19" i="154"/>
  <c r="E19" i="154"/>
  <c r="G19" i="154"/>
  <c r="D19" i="154"/>
  <c r="F13" i="154"/>
  <c r="C13" i="154"/>
  <c r="N13" i="154"/>
  <c r="E13" i="154"/>
  <c r="D13" i="154"/>
  <c r="H13" i="154"/>
  <c r="M13" i="154"/>
  <c r="L13" i="154"/>
  <c r="J112" i="154"/>
  <c r="D112" i="154"/>
  <c r="H112" i="154"/>
  <c r="M112" i="154"/>
  <c r="M91" i="154"/>
  <c r="E91" i="154"/>
  <c r="F91" i="154"/>
  <c r="L91" i="154"/>
  <c r="J91" i="154"/>
  <c r="M79" i="154"/>
  <c r="J76" i="154"/>
  <c r="L76" i="154"/>
  <c r="I70" i="154"/>
  <c r="F70" i="154"/>
  <c r="E70" i="154"/>
  <c r="J70" i="154"/>
  <c r="C70" i="154"/>
  <c r="N70" i="154"/>
  <c r="M70" i="154"/>
  <c r="K70" i="154"/>
  <c r="H67" i="154"/>
  <c r="J67" i="154"/>
  <c r="E61" i="154"/>
  <c r="G49" i="154"/>
  <c r="M49" i="154"/>
  <c r="D49" i="154"/>
  <c r="F49" i="154"/>
  <c r="L40" i="154"/>
  <c r="K34" i="154"/>
  <c r="L34" i="154"/>
  <c r="E34" i="154"/>
  <c r="F34" i="154"/>
  <c r="N34" i="154"/>
  <c r="D34" i="154"/>
  <c r="M34" i="154"/>
  <c r="I22" i="154"/>
  <c r="I112" i="154"/>
  <c r="N91" i="154"/>
  <c r="D91" i="154"/>
  <c r="H91" i="154"/>
  <c r="G91" i="154"/>
  <c r="C91" i="154"/>
  <c r="I91" i="154"/>
  <c r="G88" i="154"/>
  <c r="E88" i="154"/>
  <c r="L85" i="154"/>
  <c r="F76" i="154"/>
  <c r="M76" i="154"/>
  <c r="L73" i="154"/>
  <c r="I73" i="154"/>
  <c r="C73" i="154"/>
  <c r="K73" i="154"/>
  <c r="H73" i="154"/>
  <c r="D73" i="154"/>
  <c r="G70" i="154"/>
  <c r="L70" i="154"/>
  <c r="D70" i="154"/>
  <c r="D67" i="154"/>
  <c r="M67" i="154"/>
  <c r="L67" i="154"/>
  <c r="E67" i="154"/>
  <c r="F67" i="154"/>
  <c r="K67" i="154"/>
  <c r="C67" i="154"/>
  <c r="N67" i="154"/>
  <c r="L64" i="154"/>
  <c r="C64" i="154"/>
  <c r="K64" i="154"/>
  <c r="G64" i="154"/>
  <c r="J64" i="154"/>
  <c r="F64" i="154"/>
  <c r="M64" i="154"/>
  <c r="D61" i="154"/>
  <c r="G61" i="154"/>
  <c r="M61" i="154"/>
  <c r="K61" i="154"/>
  <c r="C61" i="154"/>
  <c r="I61" i="154"/>
  <c r="F61" i="154"/>
  <c r="J61" i="154"/>
  <c r="E58" i="154"/>
  <c r="E55" i="154"/>
  <c r="N55" i="154"/>
  <c r="J55" i="154"/>
  <c r="D55" i="154"/>
  <c r="I55" i="154"/>
  <c r="F55" i="154"/>
  <c r="H55" i="154"/>
  <c r="L55" i="154"/>
  <c r="N49" i="154"/>
  <c r="I49" i="154"/>
  <c r="K49" i="154"/>
  <c r="L49" i="154"/>
  <c r="H49" i="154"/>
  <c r="M46" i="154"/>
  <c r="I46" i="154"/>
  <c r="C46" i="154"/>
  <c r="J40" i="154"/>
  <c r="E40" i="154"/>
  <c r="D40" i="154"/>
  <c r="K40" i="154"/>
  <c r="C28" i="154"/>
  <c r="M28" i="154"/>
  <c r="G31" i="154"/>
  <c r="D28" i="154"/>
  <c r="N28" i="154"/>
  <c r="L28" i="154"/>
  <c r="L22" i="154"/>
  <c r="C22" i="154"/>
  <c r="N22" i="154"/>
  <c r="K16" i="154"/>
  <c r="G16" i="154"/>
  <c r="E16" i="154"/>
  <c r="K13" i="154"/>
  <c r="E10" i="154"/>
  <c r="M10" i="154"/>
  <c r="N10" i="154"/>
  <c r="H10" i="154"/>
  <c r="C10" i="154"/>
  <c r="L10" i="154"/>
  <c r="F10" i="154"/>
  <c r="N7" i="154"/>
  <c r="G7" i="154"/>
  <c r="C7" i="154"/>
  <c r="H7" i="154"/>
  <c r="M7" i="154"/>
  <c r="D7" i="154"/>
  <c r="L7" i="154"/>
  <c r="M4" i="154"/>
  <c r="F79" i="154"/>
  <c r="H22" i="154"/>
  <c r="H76" i="154"/>
  <c r="D79" i="154"/>
  <c r="I79" i="154"/>
  <c r="C106" i="154"/>
  <c r="E106" i="154"/>
  <c r="E76" i="154"/>
  <c r="F43" i="154"/>
  <c r="K37" i="154"/>
  <c r="J88" i="154"/>
  <c r="D37" i="154"/>
  <c r="G79" i="154"/>
  <c r="G43" i="154"/>
  <c r="C37" i="154"/>
  <c r="K106" i="154"/>
  <c r="E22" i="154"/>
  <c r="I31" i="154"/>
  <c r="I76" i="154"/>
  <c r="N79" i="154"/>
  <c r="O128" i="154"/>
  <c r="E129" i="154" s="1"/>
  <c r="D7" i="32810" s="1"/>
  <c r="F20" i="32810" s="1"/>
  <c r="N118" i="154"/>
  <c r="F118" i="154"/>
  <c r="M106" i="154"/>
  <c r="D106" i="154"/>
  <c r="L88" i="154"/>
  <c r="C76" i="154"/>
  <c r="E43" i="154"/>
  <c r="L37" i="154"/>
  <c r="F22" i="154"/>
  <c r="G97" i="154"/>
  <c r="H79" i="154"/>
  <c r="M118" i="154"/>
  <c r="G37" i="154"/>
  <c r="F37" i="154"/>
  <c r="D76" i="154"/>
  <c r="J79" i="154"/>
  <c r="I85" i="154"/>
  <c r="G118" i="154"/>
  <c r="I106" i="154"/>
  <c r="N97" i="154"/>
  <c r="M37" i="154"/>
  <c r="C4" i="154"/>
  <c r="K22" i="154"/>
  <c r="E37" i="154"/>
  <c r="G73" i="154"/>
  <c r="G76" i="154"/>
  <c r="K79" i="154"/>
  <c r="M85" i="154"/>
  <c r="N103" i="154"/>
  <c r="J106" i="154"/>
  <c r="D103" i="154"/>
  <c r="E97" i="154"/>
  <c r="D82" i="154"/>
  <c r="E64" i="154"/>
  <c r="F46" i="154"/>
  <c r="H37" i="154"/>
  <c r="M31" i="154"/>
  <c r="D10" i="154"/>
  <c r="J7" i="154"/>
  <c r="E118" i="154"/>
  <c r="G22" i="154"/>
  <c r="I37" i="154"/>
  <c r="K76" i="154"/>
  <c r="L79" i="154"/>
  <c r="C79" i="154"/>
  <c r="C85" i="154"/>
  <c r="I82" i="154"/>
  <c r="J118" i="154"/>
  <c r="L31" i="154"/>
  <c r="N31" i="154"/>
  <c r="D58" i="154"/>
  <c r="J43" i="154"/>
  <c r="M43" i="154"/>
  <c r="E4" i="154"/>
  <c r="H4" i="154"/>
  <c r="L16" i="154"/>
  <c r="M58" i="154"/>
  <c r="G85" i="154"/>
  <c r="N85" i="154"/>
  <c r="E112" i="154"/>
  <c r="H103" i="154"/>
  <c r="L97" i="154"/>
  <c r="J82" i="154"/>
  <c r="L43" i="154"/>
  <c r="H43" i="154"/>
  <c r="L4" i="154"/>
  <c r="J10" i="154"/>
  <c r="H58" i="154"/>
  <c r="D4" i="154"/>
  <c r="K31" i="154"/>
  <c r="M16" i="154"/>
  <c r="J31" i="154"/>
  <c r="F58" i="154"/>
  <c r="F82" i="154"/>
  <c r="F85" i="154"/>
  <c r="J85" i="154"/>
  <c r="O122" i="154"/>
  <c r="P111" i="154" s="1"/>
  <c r="J103" i="154"/>
  <c r="D118" i="154"/>
  <c r="H118" i="154"/>
  <c r="C112" i="154"/>
  <c r="I103" i="154"/>
  <c r="M97" i="154"/>
  <c r="H82" i="154"/>
  <c r="K43" i="154"/>
  <c r="I43" i="154"/>
  <c r="N4" i="154"/>
  <c r="G10" i="154"/>
  <c r="O126" i="154"/>
  <c r="D127" i="154" s="1"/>
  <c r="H31" i="154"/>
  <c r="J58" i="154"/>
  <c r="K85" i="154"/>
  <c r="G4" i="154"/>
  <c r="D16" i="154"/>
  <c r="D31" i="154"/>
  <c r="I58" i="154"/>
  <c r="N73" i="154"/>
  <c r="J73" i="154"/>
  <c r="M82" i="154"/>
  <c r="E85" i="154"/>
  <c r="H88" i="154"/>
  <c r="C118" i="154"/>
  <c r="L112" i="154"/>
  <c r="G112" i="154"/>
  <c r="M103" i="154"/>
  <c r="I97" i="154"/>
  <c r="I88" i="154"/>
  <c r="L82" i="154"/>
  <c r="E73" i="154"/>
  <c r="D64" i="154"/>
  <c r="H64" i="154"/>
  <c r="C58" i="154"/>
  <c r="K55" i="154"/>
  <c r="C49" i="154"/>
  <c r="D46" i="154"/>
  <c r="C43" i="154"/>
  <c r="G40" i="154"/>
  <c r="M40" i="154"/>
  <c r="I10" i="154"/>
  <c r="F7" i="154"/>
  <c r="K7" i="154"/>
  <c r="J4" i="154"/>
  <c r="J97" i="154"/>
  <c r="K4" i="154"/>
  <c r="C31" i="154"/>
  <c r="K58" i="154"/>
  <c r="I16" i="154"/>
  <c r="H16" i="154"/>
  <c r="E31" i="154"/>
  <c r="L58" i="154"/>
  <c r="K82" i="154"/>
  <c r="K112" i="154"/>
  <c r="H97" i="154"/>
  <c r="G82" i="154"/>
  <c r="D43" i="154"/>
  <c r="I4" i="154"/>
  <c r="K97" i="154"/>
  <c r="O124" i="154"/>
  <c r="I125" i="154" s="1"/>
  <c r="I10" i="165" s="1"/>
  <c r="D36" i="165" s="1"/>
  <c r="C16" i="154"/>
  <c r="N16" i="154"/>
  <c r="F16" i="154"/>
  <c r="G58" i="154"/>
  <c r="M73" i="154"/>
  <c r="H85" i="154"/>
  <c r="O130" i="154"/>
  <c r="C131" i="154" s="1"/>
  <c r="B8" i="32810" s="1"/>
  <c r="D88" i="154"/>
  <c r="F112" i="154"/>
  <c r="E103" i="154"/>
  <c r="N64" i="154"/>
  <c r="C55" i="154"/>
  <c r="E49" i="154"/>
  <c r="I40" i="154"/>
  <c r="E7" i="154"/>
  <c r="M132" i="154"/>
  <c r="H132" i="154"/>
  <c r="F132" i="154"/>
  <c r="N132" i="154"/>
  <c r="D132" i="154"/>
  <c r="J132" i="154"/>
  <c r="K132" i="154"/>
  <c r="L132" i="154"/>
  <c r="G132" i="154"/>
  <c r="H109" i="154"/>
  <c r="G109" i="154"/>
  <c r="L109" i="154"/>
  <c r="D109" i="154"/>
  <c r="M109" i="154"/>
  <c r="K109" i="154"/>
  <c r="N109" i="154"/>
  <c r="E109" i="154"/>
  <c r="F109" i="154"/>
  <c r="I109" i="154"/>
  <c r="J109" i="154"/>
  <c r="C109" i="154"/>
  <c r="E94" i="154"/>
  <c r="J94" i="154"/>
  <c r="G94" i="154"/>
  <c r="D94" i="154"/>
  <c r="N94" i="154"/>
  <c r="I94" i="154"/>
  <c r="H94" i="154"/>
  <c r="F94" i="154"/>
  <c r="M94" i="154"/>
  <c r="L94" i="154"/>
  <c r="K94" i="154"/>
  <c r="C94" i="154"/>
  <c r="C132" i="154"/>
  <c r="D177" i="154"/>
  <c r="E175" i="154"/>
  <c r="P105" i="154" l="1"/>
  <c r="D14" i="165"/>
  <c r="E31" i="165" s="1"/>
  <c r="C6" i="32810"/>
  <c r="E19" i="32810" s="1"/>
  <c r="M277" i="154"/>
  <c r="N275" i="154"/>
  <c r="N277" i="154" s="1"/>
  <c r="P114" i="154"/>
  <c r="G18" i="32810"/>
  <c r="P84" i="154"/>
  <c r="P108" i="154"/>
  <c r="P102" i="154"/>
  <c r="P72" i="154"/>
  <c r="P48" i="154"/>
  <c r="P18" i="154"/>
  <c r="P99" i="154"/>
  <c r="P69" i="154"/>
  <c r="P45" i="154"/>
  <c r="P15" i="154"/>
  <c r="P96" i="154"/>
  <c r="P66" i="154"/>
  <c r="P42" i="154"/>
  <c r="P93" i="154"/>
  <c r="P63" i="154"/>
  <c r="P39" i="154"/>
  <c r="P117" i="154"/>
  <c r="P90" i="154"/>
  <c r="P60" i="154"/>
  <c r="P36" i="154"/>
  <c r="P87" i="154"/>
  <c r="P57" i="154"/>
  <c r="P33" i="154"/>
  <c r="P78" i="154"/>
  <c r="P54" i="154"/>
  <c r="P27" i="154"/>
  <c r="P75" i="154"/>
  <c r="P21" i="154"/>
  <c r="P51" i="154"/>
  <c r="N325" i="154"/>
  <c r="N327" i="154" s="1"/>
  <c r="M327" i="154"/>
  <c r="D30" i="32810"/>
  <c r="N5" i="32810"/>
  <c r="AM24" i="153"/>
  <c r="AO15" i="153"/>
  <c r="AP26" i="153" s="1"/>
  <c r="P69" i="32809"/>
  <c r="P33" i="32809"/>
  <c r="D92" i="32809"/>
  <c r="P6" i="32809"/>
  <c r="F90" i="32809"/>
  <c r="P39" i="32809"/>
  <c r="G90" i="32809"/>
  <c r="P60" i="32809"/>
  <c r="P15" i="32809"/>
  <c r="P78" i="32809"/>
  <c r="P48" i="32809"/>
  <c r="P63" i="32809"/>
  <c r="K90" i="32809"/>
  <c r="I90" i="32809"/>
  <c r="G92" i="32809"/>
  <c r="F92" i="32809"/>
  <c r="L90" i="32809"/>
  <c r="M92" i="32809"/>
  <c r="N92" i="32809"/>
  <c r="E94" i="32809"/>
  <c r="H90" i="32809"/>
  <c r="P75" i="32809"/>
  <c r="P72" i="32809"/>
  <c r="E90" i="32809"/>
  <c r="C90" i="32809"/>
  <c r="P45" i="32809"/>
  <c r="P51" i="32809"/>
  <c r="P27" i="32809"/>
  <c r="P12" i="32809"/>
  <c r="H96" i="32809"/>
  <c r="P81" i="32809"/>
  <c r="J90" i="32809"/>
  <c r="D90" i="32809"/>
  <c r="N96" i="32809"/>
  <c r="M90" i="32809"/>
  <c r="P97" i="32809"/>
  <c r="P57" i="32809" s="1"/>
  <c r="F98" i="32809"/>
  <c r="L98" i="32809"/>
  <c r="K98" i="32809"/>
  <c r="D98" i="32809"/>
  <c r="N98" i="32809"/>
  <c r="M98" i="32809"/>
  <c r="J98" i="32809"/>
  <c r="H98" i="32809"/>
  <c r="C98" i="32809"/>
  <c r="M94" i="32809"/>
  <c r="J92" i="32809"/>
  <c r="H92" i="32809"/>
  <c r="K92" i="32809"/>
  <c r="I92" i="32809"/>
  <c r="I98" i="32809"/>
  <c r="L92" i="32809"/>
  <c r="P89" i="32809"/>
  <c r="P84" i="32809"/>
  <c r="P21" i="32809"/>
  <c r="P36" i="32809"/>
  <c r="P18" i="32809"/>
  <c r="P66" i="32809"/>
  <c r="P42" i="32809"/>
  <c r="G98" i="32809"/>
  <c r="N90" i="32809"/>
  <c r="P30" i="32809"/>
  <c r="P91" i="32809"/>
  <c r="P3" i="32809"/>
  <c r="E92" i="32809"/>
  <c r="P9" i="32809"/>
  <c r="C92" i="32809"/>
  <c r="P95" i="32809"/>
  <c r="P54" i="32809" s="1"/>
  <c r="J96" i="32809"/>
  <c r="K96" i="32809"/>
  <c r="I96" i="32809"/>
  <c r="M96" i="32809"/>
  <c r="D96" i="32809"/>
  <c r="G96" i="32809"/>
  <c r="E96" i="32809"/>
  <c r="L96" i="32809"/>
  <c r="P93" i="32809"/>
  <c r="P24" i="32809" s="1"/>
  <c r="D94" i="32809"/>
  <c r="N94" i="32809"/>
  <c r="L94" i="32809"/>
  <c r="I94" i="32809"/>
  <c r="J94" i="32809"/>
  <c r="K94" i="32809"/>
  <c r="F94" i="32809"/>
  <c r="C94" i="32809"/>
  <c r="F96" i="32809"/>
  <c r="H94" i="32809"/>
  <c r="E98" i="32809"/>
  <c r="P130" i="154"/>
  <c r="M131" i="154"/>
  <c r="G131" i="154"/>
  <c r="P24" i="154"/>
  <c r="C125" i="154"/>
  <c r="C10" i="165" s="1"/>
  <c r="D30" i="165" s="1"/>
  <c r="H131" i="154"/>
  <c r="I131" i="154"/>
  <c r="H8" i="32804" s="1"/>
  <c r="G24" i="32804" s="1"/>
  <c r="G129" i="154"/>
  <c r="J129" i="154"/>
  <c r="I129" i="154"/>
  <c r="C6" i="32804"/>
  <c r="E19" i="32804" s="1"/>
  <c r="E19" i="32808"/>
  <c r="K123" i="154"/>
  <c r="F123" i="154"/>
  <c r="K131" i="154"/>
  <c r="E131" i="154"/>
  <c r="G123" i="154"/>
  <c r="H123" i="154"/>
  <c r="L123" i="154"/>
  <c r="C123" i="154"/>
  <c r="I123" i="154"/>
  <c r="P12" i="154"/>
  <c r="P9" i="154"/>
  <c r="K125" i="154"/>
  <c r="K10" i="165" s="1"/>
  <c r="D38" i="165" s="1"/>
  <c r="K129" i="154"/>
  <c r="F125" i="154"/>
  <c r="F10" i="165" s="1"/>
  <c r="D33" i="165" s="1"/>
  <c r="D129" i="154"/>
  <c r="N125" i="154"/>
  <c r="N10" i="165" s="1"/>
  <c r="D41" i="165" s="1"/>
  <c r="E125" i="154"/>
  <c r="E10" i="165" s="1"/>
  <c r="D32" i="165" s="1"/>
  <c r="N129" i="154"/>
  <c r="H129" i="154"/>
  <c r="N131" i="154"/>
  <c r="P6" i="154"/>
  <c r="G125" i="154"/>
  <c r="G10" i="165" s="1"/>
  <c r="D34" i="165" s="1"/>
  <c r="J123" i="154"/>
  <c r="N123" i="154"/>
  <c r="M129" i="154"/>
  <c r="L129" i="154"/>
  <c r="P3" i="154"/>
  <c r="M125" i="154"/>
  <c r="M10" i="165" s="1"/>
  <c r="D40" i="165" s="1"/>
  <c r="L125" i="154"/>
  <c r="L10" i="165" s="1"/>
  <c r="D39" i="165" s="1"/>
  <c r="C129" i="154"/>
  <c r="B7" i="32810" s="1"/>
  <c r="J125" i="154"/>
  <c r="J10" i="165" s="1"/>
  <c r="D37" i="165" s="1"/>
  <c r="F129" i="154"/>
  <c r="D125" i="154"/>
  <c r="D10" i="165" s="1"/>
  <c r="D31" i="165" s="1"/>
  <c r="H125" i="154"/>
  <c r="H10" i="165" s="1"/>
  <c r="D35" i="165" s="1"/>
  <c r="M123" i="154"/>
  <c r="D123" i="154"/>
  <c r="E123" i="154"/>
  <c r="F131" i="154"/>
  <c r="E8" i="32810" s="1"/>
  <c r="G21" i="32810" s="1"/>
  <c r="D131" i="154"/>
  <c r="C8" i="32810" s="1"/>
  <c r="G19" i="32810" s="1"/>
  <c r="J131" i="154"/>
  <c r="I8" i="32810" s="1"/>
  <c r="G25" i="32810" s="1"/>
  <c r="L131" i="154"/>
  <c r="K8" i="32810" s="1"/>
  <c r="G27" i="32810" s="1"/>
  <c r="J127" i="154"/>
  <c r="I6" i="32810" s="1"/>
  <c r="E25" i="32810" s="1"/>
  <c r="N127" i="154"/>
  <c r="M6" i="32810" s="1"/>
  <c r="E29" i="32810" s="1"/>
  <c r="K127" i="154"/>
  <c r="J6" i="32810" s="1"/>
  <c r="E26" i="32810" s="1"/>
  <c r="I127" i="154"/>
  <c r="H6" i="32810" s="1"/>
  <c r="E24" i="32810" s="1"/>
  <c r="C127" i="154"/>
  <c r="B6" i="32810" s="1"/>
  <c r="L127" i="154"/>
  <c r="K6" i="32810" s="1"/>
  <c r="E27" i="32810" s="1"/>
  <c r="G127" i="154"/>
  <c r="F6" i="32810" s="1"/>
  <c r="E22" i="32810" s="1"/>
  <c r="F127" i="154"/>
  <c r="E6" i="32810" s="1"/>
  <c r="E21" i="32810" s="1"/>
  <c r="M127" i="154"/>
  <c r="L6" i="32810" s="1"/>
  <c r="E28" i="32810" s="1"/>
  <c r="E127" i="154"/>
  <c r="D6" i="32810" s="1"/>
  <c r="E20" i="32810" s="1"/>
  <c r="H127" i="154"/>
  <c r="G6" i="32810" s="1"/>
  <c r="E23" i="32810" s="1"/>
  <c r="P128" i="154"/>
  <c r="P81" i="154" s="1"/>
  <c r="P126" i="154"/>
  <c r="P30" i="154" s="1"/>
  <c r="P122" i="154"/>
  <c r="P124" i="154"/>
  <c r="B8" i="32804"/>
  <c r="G18" i="32804" s="1"/>
  <c r="G18" i="32808"/>
  <c r="C18" i="165"/>
  <c r="G30" i="165" s="1"/>
  <c r="F19" i="32808"/>
  <c r="F20" i="32808"/>
  <c r="D7" i="32804"/>
  <c r="F20" i="32804" s="1"/>
  <c r="E16" i="165"/>
  <c r="F32" i="165" s="1"/>
  <c r="E177" i="154"/>
  <c r="F175" i="154"/>
  <c r="D16" i="165" l="1"/>
  <c r="F31" i="165" s="1"/>
  <c r="C7" i="32810"/>
  <c r="F19" i="32810" s="1"/>
  <c r="G22" i="32808"/>
  <c r="F8" i="32810"/>
  <c r="G22" i="32810" s="1"/>
  <c r="N6" i="32810"/>
  <c r="E18" i="32810"/>
  <c r="E30" i="32810" s="1"/>
  <c r="F18" i="32810"/>
  <c r="I16" i="165"/>
  <c r="F36" i="165" s="1"/>
  <c r="H7" i="32810"/>
  <c r="F24" i="32810" s="1"/>
  <c r="L8" i="32804"/>
  <c r="G28" i="32804" s="1"/>
  <c r="L8" i="32810"/>
  <c r="G28" i="32810" s="1"/>
  <c r="F21" i="32808"/>
  <c r="E7" i="32810"/>
  <c r="F21" i="32810" s="1"/>
  <c r="J7" i="32804"/>
  <c r="F26" i="32804" s="1"/>
  <c r="J7" i="32810"/>
  <c r="F26" i="32810" s="1"/>
  <c r="F25" i="32808"/>
  <c r="I7" i="32810"/>
  <c r="F25" i="32810" s="1"/>
  <c r="M8" i="32804"/>
  <c r="G29" i="32804" s="1"/>
  <c r="M8" i="32810"/>
  <c r="G29" i="32810" s="1"/>
  <c r="G20" i="32808"/>
  <c r="D8" i="32810"/>
  <c r="G16" i="165"/>
  <c r="F34" i="165" s="1"/>
  <c r="F7" i="32810"/>
  <c r="F22" i="32810" s="1"/>
  <c r="M16" i="165"/>
  <c r="F40" i="165" s="1"/>
  <c r="L7" i="32810"/>
  <c r="F28" i="32810" s="1"/>
  <c r="G7" i="32804"/>
  <c r="F23" i="32804" s="1"/>
  <c r="G7" i="32810"/>
  <c r="F23" i="32810" s="1"/>
  <c r="J8" i="32804"/>
  <c r="G26" i="32804" s="1"/>
  <c r="J8" i="32810"/>
  <c r="G26" i="32810" s="1"/>
  <c r="G24" i="32808"/>
  <c r="H8" i="32810"/>
  <c r="G24" i="32810" s="1"/>
  <c r="F27" i="32808"/>
  <c r="K7" i="32810"/>
  <c r="F27" i="32810" s="1"/>
  <c r="F29" i="32808"/>
  <c r="M7" i="32810"/>
  <c r="F29" i="32810" s="1"/>
  <c r="G23" i="32808"/>
  <c r="G8" i="32810"/>
  <c r="G23" i="32810" s="1"/>
  <c r="C18" i="32808"/>
  <c r="B4" i="32810"/>
  <c r="C25" i="32808"/>
  <c r="I4" i="32810"/>
  <c r="C25" i="32810" s="1"/>
  <c r="H12" i="165"/>
  <c r="C35" i="165" s="1"/>
  <c r="G4" i="32810"/>
  <c r="C23" i="32810" s="1"/>
  <c r="P120" i="154"/>
  <c r="C20" i="32808"/>
  <c r="D4" i="32810"/>
  <c r="C20" i="32810" s="1"/>
  <c r="G12" i="165"/>
  <c r="C34" i="165" s="1"/>
  <c r="F4" i="32810"/>
  <c r="C22" i="32810" s="1"/>
  <c r="H4" i="32804"/>
  <c r="C24" i="32804" s="1"/>
  <c r="H4" i="32810"/>
  <c r="C24" i="32810" s="1"/>
  <c r="L12" i="165"/>
  <c r="C39" i="165" s="1"/>
  <c r="K4" i="32810"/>
  <c r="C27" i="32810" s="1"/>
  <c r="C4" i="32804"/>
  <c r="C19" i="32804" s="1"/>
  <c r="C4" i="32810"/>
  <c r="C19" i="32810" s="1"/>
  <c r="C21" i="32808"/>
  <c r="E4" i="32810"/>
  <c r="C21" i="32810" s="1"/>
  <c r="C26" i="32808"/>
  <c r="J4" i="32810"/>
  <c r="C26" i="32810" s="1"/>
  <c r="C29" i="32808"/>
  <c r="M4" i="32810"/>
  <c r="C29" i="32810" s="1"/>
  <c r="L4" i="32804"/>
  <c r="C28" i="32804" s="1"/>
  <c r="L4" i="32810"/>
  <c r="C28" i="32810" s="1"/>
  <c r="AO17" i="153"/>
  <c r="F7" i="32804"/>
  <c r="F22" i="32804" s="1"/>
  <c r="I18" i="165"/>
  <c r="G36" i="165" s="1"/>
  <c r="F22" i="32808"/>
  <c r="P87" i="32809"/>
  <c r="O90" i="32809"/>
  <c r="O96" i="32809"/>
  <c r="P99" i="32809"/>
  <c r="O92" i="32809"/>
  <c r="O98" i="32809"/>
  <c r="O94" i="32809"/>
  <c r="G28" i="32808"/>
  <c r="L7" i="32804"/>
  <c r="F28" i="32804" s="1"/>
  <c r="F28" i="32808"/>
  <c r="C7" i="32804"/>
  <c r="F19" i="32804" s="1"/>
  <c r="M18" i="165"/>
  <c r="G40" i="165" s="1"/>
  <c r="F24" i="32808"/>
  <c r="H7" i="32804"/>
  <c r="F24" i="32804" s="1"/>
  <c r="F26" i="32808"/>
  <c r="G29" i="32808"/>
  <c r="H18" i="165"/>
  <c r="G35" i="165" s="1"/>
  <c r="G18" i="165"/>
  <c r="G34" i="165" s="1"/>
  <c r="G8" i="32804"/>
  <c r="G23" i="32804" s="1"/>
  <c r="F8" i="32804"/>
  <c r="G22" i="32804" s="1"/>
  <c r="H16" i="165"/>
  <c r="F35" i="165" s="1"/>
  <c r="F23" i="32808"/>
  <c r="C16" i="165"/>
  <c r="F30" i="165" s="1"/>
  <c r="J16" i="165"/>
  <c r="F37" i="165" s="1"/>
  <c r="I7" i="32804"/>
  <c r="F25" i="32804" s="1"/>
  <c r="F16" i="165"/>
  <c r="F33" i="165" s="1"/>
  <c r="E18" i="165"/>
  <c r="G32" i="165" s="1"/>
  <c r="D8" i="32804"/>
  <c r="G20" i="32804" s="1"/>
  <c r="K18" i="165"/>
  <c r="G38" i="165" s="1"/>
  <c r="L16" i="165"/>
  <c r="F39" i="165" s="1"/>
  <c r="E7" i="32804"/>
  <c r="F21" i="32804" s="1"/>
  <c r="K7" i="32804"/>
  <c r="F27" i="32804" s="1"/>
  <c r="K16" i="165"/>
  <c r="F38" i="165" s="1"/>
  <c r="M7" i="32804"/>
  <c r="F29" i="32804" s="1"/>
  <c r="O129" i="154"/>
  <c r="J4" i="32804"/>
  <c r="C26" i="32804" s="1"/>
  <c r="K12" i="165"/>
  <c r="C38" i="165" s="1"/>
  <c r="C27" i="32808"/>
  <c r="F12" i="165"/>
  <c r="C33" i="165" s="1"/>
  <c r="E4" i="32804"/>
  <c r="C21" i="32804" s="1"/>
  <c r="D4" i="32804"/>
  <c r="C20" i="32804" s="1"/>
  <c r="F4" i="32804"/>
  <c r="C22" i="32804" s="1"/>
  <c r="E12" i="165"/>
  <c r="C32" i="165" s="1"/>
  <c r="B4" i="32804"/>
  <c r="C18" i="32804" s="1"/>
  <c r="C12" i="165"/>
  <c r="C30" i="165" s="1"/>
  <c r="G4" i="32804"/>
  <c r="C23" i="32804" s="1"/>
  <c r="C23" i="32808"/>
  <c r="C22" i="32808"/>
  <c r="G26" i="32808"/>
  <c r="I4" i="32804"/>
  <c r="C25" i="32804" s="1"/>
  <c r="J12" i="165"/>
  <c r="C37" i="165" s="1"/>
  <c r="K4" i="32804"/>
  <c r="C27" i="32804" s="1"/>
  <c r="I12" i="165"/>
  <c r="C36" i="165" s="1"/>
  <c r="M12" i="165"/>
  <c r="C40" i="165" s="1"/>
  <c r="C28" i="32808"/>
  <c r="C24" i="32808"/>
  <c r="E22" i="165"/>
  <c r="K22" i="165"/>
  <c r="O10" i="165"/>
  <c r="B7" i="32804"/>
  <c r="N22" i="165"/>
  <c r="M4" i="32804"/>
  <c r="C29" i="32804" s="1"/>
  <c r="C19" i="32808"/>
  <c r="O131" i="154"/>
  <c r="O123" i="154"/>
  <c r="D12" i="165"/>
  <c r="C31" i="165" s="1"/>
  <c r="E22" i="32808"/>
  <c r="F6" i="32804"/>
  <c r="E22" i="32804" s="1"/>
  <c r="G14" i="165"/>
  <c r="E34" i="165" s="1"/>
  <c r="O125" i="154"/>
  <c r="D42" i="165"/>
  <c r="B6" i="32804"/>
  <c r="O127" i="154"/>
  <c r="C14" i="165"/>
  <c r="E8" i="32804"/>
  <c r="G21" i="32804" s="1"/>
  <c r="F18" i="165"/>
  <c r="G33" i="165" s="1"/>
  <c r="G21" i="32808"/>
  <c r="I8" i="32804"/>
  <c r="G25" i="32804" s="1"/>
  <c r="G25" i="32808"/>
  <c r="J18" i="165"/>
  <c r="G37" i="165" s="1"/>
  <c r="L14" i="165"/>
  <c r="E39" i="165" s="1"/>
  <c r="K6" i="32804"/>
  <c r="E27" i="32804" s="1"/>
  <c r="E27" i="32808"/>
  <c r="H6" i="32804"/>
  <c r="E24" i="32804" s="1"/>
  <c r="E24" i="32808"/>
  <c r="I14" i="165"/>
  <c r="E36" i="165" s="1"/>
  <c r="C8" i="32804"/>
  <c r="G19" i="32804" s="1"/>
  <c r="G19" i="32808"/>
  <c r="D18" i="165"/>
  <c r="G31" i="165" s="1"/>
  <c r="E23" i="32808"/>
  <c r="G6" i="32804"/>
  <c r="E23" i="32804" s="1"/>
  <c r="H14" i="165"/>
  <c r="E35" i="165" s="1"/>
  <c r="K14" i="165"/>
  <c r="E38" i="165" s="1"/>
  <c r="J6" i="32804"/>
  <c r="E26" i="32804" s="1"/>
  <c r="E26" i="32808"/>
  <c r="E14" i="165"/>
  <c r="E32" i="165" s="1"/>
  <c r="E20" i="32808"/>
  <c r="D6" i="32804"/>
  <c r="E20" i="32804" s="1"/>
  <c r="M6" i="32804"/>
  <c r="E29" i="32804" s="1"/>
  <c r="N14" i="165"/>
  <c r="E41" i="165" s="1"/>
  <c r="E29" i="32808"/>
  <c r="E28" i="32808"/>
  <c r="M14" i="165"/>
  <c r="E40" i="165" s="1"/>
  <c r="L6" i="32804"/>
  <c r="E28" i="32804" s="1"/>
  <c r="J14" i="165"/>
  <c r="E37" i="165" s="1"/>
  <c r="E25" i="32808"/>
  <c r="I6" i="32804"/>
  <c r="E25" i="32804" s="1"/>
  <c r="H22" i="165"/>
  <c r="E21" i="32808"/>
  <c r="E6" i="32804"/>
  <c r="E21" i="32804" s="1"/>
  <c r="F14" i="165"/>
  <c r="E33" i="165" s="1"/>
  <c r="G27" i="32808"/>
  <c r="K8" i="32804"/>
  <c r="G27" i="32804" s="1"/>
  <c r="L18" i="165"/>
  <c r="G39" i="165" s="1"/>
  <c r="P132" i="154"/>
  <c r="F18" i="32808"/>
  <c r="F177" i="154"/>
  <c r="G175" i="154"/>
  <c r="F30" i="32810" l="1"/>
  <c r="G20" i="32810"/>
  <c r="G30" i="32810" s="1"/>
  <c r="N8" i="32810"/>
  <c r="N7" i="32810"/>
  <c r="C18" i="32810"/>
  <c r="C30" i="32810" s="1"/>
  <c r="N4" i="32810"/>
  <c r="N7" i="32808"/>
  <c r="F30" i="32808"/>
  <c r="N16" i="165"/>
  <c r="F41" i="165" s="1"/>
  <c r="F42" i="165" s="1"/>
  <c r="N7" i="32804"/>
  <c r="C30" i="32804"/>
  <c r="G30" i="32808"/>
  <c r="N12" i="165"/>
  <c r="C41" i="165" s="1"/>
  <c r="C42" i="165" s="1"/>
  <c r="C30" i="32808"/>
  <c r="H23" i="165"/>
  <c r="K23" i="165" s="1"/>
  <c r="N23" i="165" s="1"/>
  <c r="N4" i="32808"/>
  <c r="F18" i="32804"/>
  <c r="F30" i="32804" s="1"/>
  <c r="G30" i="32804"/>
  <c r="N18" i="165"/>
  <c r="G41" i="165" s="1"/>
  <c r="G42" i="165" s="1"/>
  <c r="E18" i="32808"/>
  <c r="E30" i="32808" s="1"/>
  <c r="N8" i="32804"/>
  <c r="E18" i="32804"/>
  <c r="E30" i="32804" s="1"/>
  <c r="N6" i="32804"/>
  <c r="N8" i="32808"/>
  <c r="E30" i="165"/>
  <c r="E42" i="165" s="1"/>
  <c r="O14" i="165"/>
  <c r="H175" i="154"/>
  <c r="G177" i="154"/>
  <c r="O18" i="165" l="1"/>
  <c r="O16" i="165"/>
  <c r="O12" i="165"/>
  <c r="I175" i="154"/>
  <c r="H177" i="154"/>
  <c r="J175" i="154" l="1"/>
  <c r="I177" i="154"/>
  <c r="J177" i="154" l="1"/>
  <c r="K175" i="154"/>
  <c r="K177" i="154" l="1"/>
  <c r="L175" i="154"/>
  <c r="L177" i="154" l="1"/>
  <c r="M175" i="154"/>
  <c r="M177" i="154" l="1"/>
  <c r="N175" i="154"/>
  <c r="N177" i="154" s="1"/>
</calcChain>
</file>

<file path=xl/comments1.xml><?xml version="1.0" encoding="utf-8"?>
<comments xmlns="http://schemas.openxmlformats.org/spreadsheetml/2006/main">
  <authors>
    <author>David Buening</author>
  </authors>
  <commentList>
    <comment ref="N103" authorId="0">
      <text>
        <r>
          <rPr>
            <b/>
            <sz val="9"/>
            <color indexed="81"/>
            <rFont val="Tahoma"/>
            <charset val="1"/>
          </rPr>
          <t>David Buening:</t>
        </r>
        <r>
          <rPr>
            <sz val="9"/>
            <color indexed="81"/>
            <rFont val="Tahoma"/>
            <charset val="1"/>
          </rPr>
          <t xml:space="preserve">
Use prior year June amounts for est</t>
        </r>
      </text>
    </comment>
    <comment ref="AD103" authorId="0">
      <text>
        <r>
          <rPr>
            <b/>
            <sz val="9"/>
            <color indexed="81"/>
            <rFont val="Tahoma"/>
            <charset val="1"/>
          </rPr>
          <t>David Buening:</t>
        </r>
        <r>
          <rPr>
            <sz val="9"/>
            <color indexed="81"/>
            <rFont val="Tahoma"/>
            <charset val="1"/>
          </rPr>
          <t xml:space="preserve">
Use prior year June amounts for est</t>
        </r>
      </text>
    </comment>
    <comment ref="N142" authorId="0">
      <text>
        <r>
          <rPr>
            <b/>
            <sz val="9"/>
            <color indexed="81"/>
            <rFont val="Tahoma"/>
            <charset val="1"/>
          </rPr>
          <t>David Buening:</t>
        </r>
        <r>
          <rPr>
            <sz val="9"/>
            <color indexed="81"/>
            <rFont val="Tahoma"/>
            <charset val="1"/>
          </rPr>
          <t xml:space="preserve">
Use prior year June amounts for est</t>
        </r>
      </text>
    </comment>
    <comment ref="AD142" authorId="0">
      <text>
        <r>
          <rPr>
            <b/>
            <sz val="9"/>
            <color indexed="81"/>
            <rFont val="Tahoma"/>
            <charset val="1"/>
          </rPr>
          <t>David Buening:</t>
        </r>
        <r>
          <rPr>
            <sz val="9"/>
            <color indexed="81"/>
            <rFont val="Tahoma"/>
            <charset val="1"/>
          </rPr>
          <t xml:space="preserve">
Use prior year June amounts for est</t>
        </r>
      </text>
    </comment>
    <comment ref="N221" authorId="0">
      <text>
        <r>
          <rPr>
            <b/>
            <sz val="9"/>
            <color indexed="81"/>
            <rFont val="Tahoma"/>
            <charset val="1"/>
          </rPr>
          <t>David Buening:</t>
        </r>
        <r>
          <rPr>
            <sz val="9"/>
            <color indexed="81"/>
            <rFont val="Tahoma"/>
            <charset val="1"/>
          </rPr>
          <t xml:space="preserve">
Initially used prior year June amounts for est.  Now corrected.
</t>
        </r>
      </text>
    </comment>
  </commentList>
</comments>
</file>

<file path=xl/comments2.xml><?xml version="1.0" encoding="utf-8"?>
<comments xmlns="http://schemas.openxmlformats.org/spreadsheetml/2006/main">
  <authors>
    <author>David Buening</author>
    <author>Buening,David E</author>
  </authors>
  <commentList>
    <comment ref="N134" authorId="0">
      <text>
        <r>
          <rPr>
            <b/>
            <sz val="9"/>
            <color indexed="81"/>
            <rFont val="Tahoma"/>
            <charset val="1"/>
          </rPr>
          <t>David Buening:</t>
        </r>
        <r>
          <rPr>
            <sz val="9"/>
            <color indexed="81"/>
            <rFont val="Tahoma"/>
            <charset val="1"/>
          </rPr>
          <t xml:space="preserve">
Use prior year June amounts for est</t>
        </r>
      </text>
    </comment>
    <comment ref="N184" authorId="0">
      <text>
        <r>
          <rPr>
            <b/>
            <sz val="9"/>
            <color indexed="81"/>
            <rFont val="Tahoma"/>
            <charset val="1"/>
          </rPr>
          <t>David Buening:</t>
        </r>
        <r>
          <rPr>
            <sz val="9"/>
            <color indexed="81"/>
            <rFont val="Tahoma"/>
            <charset val="1"/>
          </rPr>
          <t xml:space="preserve">
Use prior year June amounts for est</t>
        </r>
      </text>
    </comment>
    <comment ref="F219" authorId="1">
      <text>
        <r>
          <rPr>
            <sz val="9"/>
            <color indexed="81"/>
            <rFont val="Tahoma"/>
            <family val="2"/>
          </rPr>
          <t xml:space="preserve">Incorrect charge to gain/loss on sale of fixed assets.
</t>
        </r>
      </text>
    </comment>
    <comment ref="G219" authorId="1">
      <text>
        <r>
          <rPr>
            <sz val="9"/>
            <color indexed="81"/>
            <rFont val="Tahoma"/>
            <family val="2"/>
          </rPr>
          <t xml:space="preserve">Incorrect charge to gain/loss on sale of fixed assets.
</t>
        </r>
      </text>
    </comment>
    <comment ref="I219" authorId="1">
      <text>
        <r>
          <rPr>
            <sz val="9"/>
            <color indexed="81"/>
            <rFont val="Tahoma"/>
            <family val="2"/>
          </rPr>
          <t xml:space="preserve">Incorrect charge to gain/loss on sale of fixed assets.
</t>
        </r>
      </text>
    </comment>
    <comment ref="N282" authorId="0">
      <text>
        <r>
          <rPr>
            <b/>
            <sz val="9"/>
            <color indexed="81"/>
            <rFont val="Tahoma"/>
            <charset val="1"/>
          </rPr>
          <t>David Buening:</t>
        </r>
        <r>
          <rPr>
            <sz val="9"/>
            <color indexed="81"/>
            <rFont val="Tahoma"/>
            <charset val="1"/>
          </rPr>
          <t xml:space="preserve">
Initially used prior year June amounts for est.  Now corrected.
</t>
        </r>
      </text>
    </comment>
  </commentList>
</comments>
</file>

<file path=xl/comments3.xml><?xml version="1.0" encoding="utf-8"?>
<comments xmlns="http://schemas.openxmlformats.org/spreadsheetml/2006/main">
  <authors>
    <author>David Buening</author>
  </authors>
  <commentList>
    <comment ref="H16" authorId="0">
      <text>
        <r>
          <rPr>
            <sz val="9"/>
            <color indexed="81"/>
            <rFont val="Tahoma"/>
            <family val="2"/>
          </rPr>
          <t>Factors based upon treated water sales by month provided by Lisa St. Regis</t>
        </r>
      </text>
    </comment>
  </commentList>
</comments>
</file>

<file path=xl/comments4.xml><?xml version="1.0" encoding="utf-8"?>
<comments xmlns="http://schemas.openxmlformats.org/spreadsheetml/2006/main">
  <authors>
    <author>David Buening</author>
  </authors>
  <commentList>
    <comment ref="H16" authorId="0">
      <text>
        <r>
          <rPr>
            <sz val="9"/>
            <color indexed="81"/>
            <rFont val="Tahoma"/>
            <family val="2"/>
          </rPr>
          <t>Factors based upon treated water sales by month provided by Lisa St. Regis</t>
        </r>
      </text>
    </comment>
  </commentList>
</comments>
</file>

<file path=xl/comments5.xml><?xml version="1.0" encoding="utf-8"?>
<comments xmlns="http://schemas.openxmlformats.org/spreadsheetml/2006/main">
  <authors>
    <author>David Buening</author>
  </authors>
  <commentList>
    <comment ref="H16" authorId="0">
      <text>
        <r>
          <rPr>
            <sz val="9"/>
            <color indexed="81"/>
            <rFont val="Tahoma"/>
            <family val="2"/>
          </rPr>
          <t>Factors based upon treated water sales by month provided by Lisa St. Regis</t>
        </r>
      </text>
    </comment>
  </commentList>
</comments>
</file>

<file path=xl/comments6.xml><?xml version="1.0" encoding="utf-8"?>
<comments xmlns="http://schemas.openxmlformats.org/spreadsheetml/2006/main">
  <authors>
    <author>David Buening</author>
  </authors>
  <commentList>
    <comment ref="H16" authorId="0">
      <text>
        <r>
          <rPr>
            <sz val="9"/>
            <color indexed="81"/>
            <rFont val="Tahoma"/>
            <family val="2"/>
          </rPr>
          <t>Factors based upon treated water sales by month provided by Lisa St. Regis</t>
        </r>
      </text>
    </comment>
  </commentList>
</comments>
</file>

<file path=xl/sharedStrings.xml><?xml version="1.0" encoding="utf-8"?>
<sst xmlns="http://schemas.openxmlformats.org/spreadsheetml/2006/main" count="1415" uniqueCount="225">
  <si>
    <t>PAYDATE</t>
  </si>
  <si>
    <t>PayDate</t>
  </si>
  <si>
    <t>SumOfAmount</t>
  </si>
  <si>
    <t>PPE</t>
  </si>
  <si>
    <t>2000-01 All Payroll</t>
  </si>
  <si>
    <t>1999-2000 All Payroll</t>
  </si>
  <si>
    <t>1998-99 All Payroll</t>
  </si>
  <si>
    <t>1997-98 All Payroll</t>
  </si>
  <si>
    <t>1996-97 All Payroll</t>
  </si>
  <si>
    <t>2000-01 O&amp;M Payroll</t>
  </si>
  <si>
    <t>1999-00 O&amp;M Payroll</t>
  </si>
  <si>
    <t>1998-99 O&amp;M Payroll</t>
  </si>
  <si>
    <t>1997-98 O&amp;M Payroll</t>
  </si>
  <si>
    <t>1996-97 O&amp;M Payroll</t>
  </si>
  <si>
    <t>O&amp;M Avg</t>
  </si>
  <si>
    <t>Only</t>
  </si>
  <si>
    <t>All</t>
  </si>
  <si>
    <t>July</t>
  </si>
  <si>
    <t>May</t>
  </si>
  <si>
    <t>2001-02 All Payroll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</si>
  <si>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</si>
  <si>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</si>
  <si>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</si>
  <si>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</si>
  <si>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</si>
  <si>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</si>
  <si>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</si>
  <si>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</si>
  <si>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</si>
  <si>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</si>
  <si>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2002-03 All Payroll</t>
  </si>
  <si>
    <t>2001/02 O&amp;M Payroll</t>
  </si>
  <si>
    <t>2002/03 O&amp;M Payroll</t>
  </si>
  <si>
    <t>42000</t>
  </si>
  <si>
    <t>Labor</t>
  </si>
  <si>
    <t>42010</t>
  </si>
  <si>
    <t>Labor, Agency Temporary</t>
  </si>
  <si>
    <t>42100</t>
  </si>
  <si>
    <t>Benefits</t>
  </si>
  <si>
    <t>42200</t>
  </si>
  <si>
    <t>Labor, District Temporary</t>
  </si>
  <si>
    <t>42300</t>
  </si>
  <si>
    <t>Subsidies &amp; Incentives</t>
  </si>
  <si>
    <t>42500</t>
  </si>
  <si>
    <t>Administrative Overhead-Capital, Reg Employee</t>
  </si>
  <si>
    <t>43000</t>
  </si>
  <si>
    <t>Materials &amp; Supplies</t>
  </si>
  <si>
    <t>43100</t>
  </si>
  <si>
    <t>Repairs &amp; Maintenance - Outside Services</t>
  </si>
  <si>
    <t>44000</t>
  </si>
  <si>
    <t>Conservation Credits</t>
  </si>
  <si>
    <t>44100</t>
  </si>
  <si>
    <t>Utilities Charges</t>
  </si>
  <si>
    <t>44200</t>
  </si>
  <si>
    <t>Travel Expenses</t>
  </si>
  <si>
    <t>44300</t>
  </si>
  <si>
    <t>Communication Expenses</t>
  </si>
  <si>
    <t>44400</t>
  </si>
  <si>
    <t>Rent &amp; Leases</t>
  </si>
  <si>
    <t>44450</t>
  </si>
  <si>
    <t>District Validated Parking</t>
  </si>
  <si>
    <t>44500</t>
  </si>
  <si>
    <t>Insurance</t>
  </si>
  <si>
    <t>44510</t>
  </si>
  <si>
    <t>Insurance Premiums</t>
  </si>
  <si>
    <t>44520</t>
  </si>
  <si>
    <t>Insurance Claims</t>
  </si>
  <si>
    <t>44600</t>
  </si>
  <si>
    <t>Freight &amp; Demurrage</t>
  </si>
  <si>
    <t>44700</t>
  </si>
  <si>
    <t>Equipment Expensed</t>
  </si>
  <si>
    <t>44800</t>
  </si>
  <si>
    <t>Advertising</t>
  </si>
  <si>
    <t>44900</t>
  </si>
  <si>
    <t>Memberships &amp; Subscriptions</t>
  </si>
  <si>
    <t>45100</t>
  </si>
  <si>
    <t>Reference Books</t>
  </si>
  <si>
    <t>45200</t>
  </si>
  <si>
    <t>Training &amp; Seminars Costs</t>
  </si>
  <si>
    <t>45250</t>
  </si>
  <si>
    <t>Conferences &amp; Meetings</t>
  </si>
  <si>
    <t>45400</t>
  </si>
  <si>
    <t>Outside Services - Professional</t>
  </si>
  <si>
    <t>45500</t>
  </si>
  <si>
    <t>Outside Services - Non Professional / Maintenance</t>
  </si>
  <si>
    <t>45550</t>
  </si>
  <si>
    <t>Contract Payments</t>
  </si>
  <si>
    <t>45600</t>
  </si>
  <si>
    <t>Graphics &amp; Reprographics</t>
  </si>
  <si>
    <t>45650</t>
  </si>
  <si>
    <t>Taxes &amp; Permits</t>
  </si>
  <si>
    <t>45800</t>
  </si>
  <si>
    <t>Fee Title</t>
  </si>
  <si>
    <t>46000</t>
  </si>
  <si>
    <t>Usage of Operating Equipment</t>
  </si>
  <si>
    <t>46330</t>
  </si>
  <si>
    <t>Prior Year's Adjustments</t>
  </si>
  <si>
    <t>46331</t>
  </si>
  <si>
    <t>Accounting Cost Adjustment</t>
  </si>
  <si>
    <t>46400</t>
  </si>
  <si>
    <t>Other Non-Operating Expenses</t>
  </si>
  <si>
    <t>49000</t>
  </si>
  <si>
    <t>Miscellaneous Expenses</t>
  </si>
  <si>
    <t>Total</t>
  </si>
  <si>
    <t>Cumulative per FSG</t>
  </si>
  <si>
    <t>Difference</t>
  </si>
  <si>
    <t>2003-04 All Payroll</t>
  </si>
  <si>
    <t>2003-04 O&amp;M Payroll</t>
  </si>
  <si>
    <t>Total All Accounts</t>
  </si>
  <si>
    <t>Total Labor accounts</t>
  </si>
  <si>
    <t>Total non-labor/separate accounts</t>
  </si>
  <si>
    <t>2004/05 All Payroll</t>
  </si>
  <si>
    <t>2004/05 O&amp;M Payroll</t>
  </si>
  <si>
    <t>Utility Charges</t>
  </si>
  <si>
    <t>Aug</t>
  </si>
  <si>
    <t>Oct</t>
  </si>
  <si>
    <t>Nov</t>
  </si>
  <si>
    <t>Dec</t>
  </si>
  <si>
    <t>Jan</t>
  </si>
  <si>
    <t>Sept</t>
  </si>
  <si>
    <t>Feb</t>
  </si>
  <si>
    <t>Water Sales</t>
  </si>
  <si>
    <t>separate accts</t>
  </si>
  <si>
    <t>Non-labor/</t>
  </si>
  <si>
    <t>Accts</t>
  </si>
  <si>
    <t>Utility</t>
  </si>
  <si>
    <t>Charges</t>
  </si>
  <si>
    <t>Prof Serv</t>
  </si>
  <si>
    <t>Non Prof</t>
  </si>
  <si>
    <t>Water</t>
  </si>
  <si>
    <t>Sales</t>
  </si>
  <si>
    <t>Sponsorships</t>
  </si>
  <si>
    <t>Grant/Donation Expense</t>
  </si>
  <si>
    <t>46350</t>
  </si>
  <si>
    <t>2005/06 O&amp;M Payroll</t>
  </si>
  <si>
    <t>2005/06 All Payroll</t>
  </si>
  <si>
    <t>O&amp;M</t>
  </si>
  <si>
    <t>Mar</t>
  </si>
  <si>
    <t>Total Labor accounts - adjusted</t>
  </si>
  <si>
    <t>SumOf$COST</t>
  </si>
  <si>
    <t>2005/06</t>
  </si>
  <si>
    <t>2004/05</t>
  </si>
  <si>
    <t>Apr</t>
  </si>
  <si>
    <t>Paycycles</t>
  </si>
  <si>
    <t>Hours Avail</t>
  </si>
  <si>
    <t>Percent</t>
  </si>
  <si>
    <t>SEGMENT1</t>
  </si>
  <si>
    <t>SEGMENT5</t>
  </si>
  <si>
    <t>1003</t>
  </si>
  <si>
    <t>4200005</t>
  </si>
  <si>
    <t>4200010</t>
  </si>
  <si>
    <t>4200025</t>
  </si>
  <si>
    <t>4200095</t>
  </si>
  <si>
    <t>BUDG</t>
  </si>
  <si>
    <t>Sub</t>
  </si>
  <si>
    <t>01</t>
  </si>
  <si>
    <t>02</t>
  </si>
  <si>
    <t>03</t>
  </si>
  <si>
    <t>4200016</t>
  </si>
  <si>
    <t>Factors</t>
  </si>
  <si>
    <t>O/S - Professional</t>
  </si>
  <si>
    <t>O/S - Non Professional / Maintenance</t>
  </si>
  <si>
    <t>2006/07 O&amp;M Payroll</t>
  </si>
  <si>
    <t>2006/07 All Payroll</t>
  </si>
  <si>
    <t>Water Sales Accts:</t>
  </si>
  <si>
    <t>2006/07</t>
  </si>
  <si>
    <t>Operating Equipment</t>
  </si>
  <si>
    <t>For 2008/09</t>
  </si>
  <si>
    <t>2007/08 All Payroll</t>
  </si>
  <si>
    <t>2007/08 O&amp;M Payroll</t>
  </si>
  <si>
    <t>Labor per Labor worksheet</t>
  </si>
  <si>
    <t>44930</t>
  </si>
  <si>
    <t>Community Outreach Activities</t>
  </si>
  <si>
    <t>Cumulative</t>
  </si>
  <si>
    <t>Depreciation &amp; Amortization &amp; Gain on Sale</t>
  </si>
  <si>
    <t>2007/08</t>
  </si>
  <si>
    <t>2008/09</t>
  </si>
  <si>
    <t>need new $ for CFY</t>
  </si>
  <si>
    <t>2008/09 O&amp;M Payroll</t>
  </si>
  <si>
    <t>2008/09 All Payroll</t>
  </si>
  <si>
    <t>46200</t>
  </si>
  <si>
    <t>2009/10 All Payroll</t>
  </si>
  <si>
    <t>2009/10 O&amp;M Payroll</t>
  </si>
  <si>
    <t>3 Year Amount</t>
  </si>
  <si>
    <t>2009/10</t>
  </si>
  <si>
    <t>2010/11 O&amp;M Payroll</t>
  </si>
  <si>
    <t>2010/11 All Payroll</t>
  </si>
  <si>
    <t>2011/12</t>
  </si>
  <si>
    <t>2010/11</t>
  </si>
  <si>
    <t>2011/12 All Payroll</t>
  </si>
  <si>
    <t>2011/12 O&amp;M Payroll</t>
  </si>
  <si>
    <t>Amounts are currently 12_13</t>
  </si>
  <si>
    <t>FY 2012/13</t>
  </si>
  <si>
    <t>Accts 41000 &amp; 41100</t>
  </si>
  <si>
    <t>Amounts are currently 13_14</t>
  </si>
  <si>
    <t>Capital</t>
  </si>
  <si>
    <t>Bonus pay to remove from 3-31-12</t>
  </si>
  <si>
    <t>2012/13 All Payroll</t>
  </si>
  <si>
    <t>2012/13 O&amp;M Payroll</t>
  </si>
  <si>
    <t>$6,000 to each employee (BPN)</t>
  </si>
  <si>
    <t>2012/13</t>
  </si>
  <si>
    <t>2013/14</t>
  </si>
  <si>
    <t>Amounts are currently 14_15</t>
  </si>
  <si>
    <t>Proposed Factors</t>
  </si>
  <si>
    <t>FY 2013/14</t>
  </si>
  <si>
    <t>2013/14 All Payroll</t>
  </si>
  <si>
    <t>FY 2014/15</t>
  </si>
  <si>
    <t>Less Construction OH activity</t>
  </si>
  <si>
    <t>Cumulative amounts per 16A</t>
  </si>
  <si>
    <t>Monthly Amounts</t>
  </si>
  <si>
    <t>Local Program/Projects Contribution</t>
  </si>
  <si>
    <t>Less other  admin OH</t>
  </si>
  <si>
    <t>2014/15 All Payroll</t>
  </si>
  <si>
    <t>Estimated</t>
  </si>
  <si>
    <t>Amounts are currently 15_16</t>
  </si>
  <si>
    <t>2014/15 O&amp;M Payroll</t>
  </si>
  <si>
    <t>2013/14 O&amp;M Payroll</t>
  </si>
  <si>
    <t>2015/16 All Payroll</t>
  </si>
  <si>
    <t>2015/16 O&amp;M Payroll</t>
  </si>
  <si>
    <t>2016/17 estimated factors</t>
  </si>
  <si>
    <t>2014/15</t>
  </si>
  <si>
    <t>2015/16</t>
  </si>
  <si>
    <t>FY 2015/16</t>
  </si>
  <si>
    <t>3 Year Average FYE 2014 - 2016</t>
  </si>
  <si>
    <t>Amounts are currently 16_17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</si>
</sst>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43" formatCode="_(* #,##0.00_);_(* \(#,##0.00\);_(* &quot;-&quot;??_);_(@_)"/>
    <numFmt numFmtId="164" formatCode="dd\-mmm\-yy"/>
    <numFmt numFmtId="165" formatCode="0.0%"/>
    <numFmt numFmtId="166" formatCode="0.000%"/>
    <numFmt numFmtId="167" formatCode="0.0000%"/>
    <numFmt numFmtId="168" formatCode="_(* #,##0.00000_);_(* \(#,##0.00000\);_(* &quot;-&quot;??_);_(@_)"/>
    <numFmt numFmtId="169" formatCode="_(* #,##0.000000_);_(* \(#,##0.000000\);_(* &quot;-&quot;??_);_(@_)"/>
    <numFmt numFmtId="170" formatCode="_(* #,##0_);_(* \(#,##0\);_(* &quot;-&quot;??_);_(@_)"/>
    <numFmt numFmtId="171" formatCode="_(* #,##0.0_);_(* \(#,##0.0\);_(* &quot;-&quot;??_);_(@_)"/>
  </numFmts>
  <fonts count="22" x14ac:knownFonts="1">
    <font>
      <sz val="10"/>
      <name val="Arial"/>
    </font>
    <font>
      <sz val="10"/>
      <name val="Arial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b/>
      <u val="singleAccounting"/>
      <sz val="10"/>
      <name val="Arial"/>
      <family val="2"/>
    </font>
    <font>
      <b/>
      <u val="singleAccounting"/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charset val="238"/>
    </font>
    <font>
      <sz val="10"/>
      <color indexed="8"/>
      <name val="Arial"/>
    </font>
    <font>
      <sz val="10"/>
      <name val="Arial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indexed="8"/>
      <name val="Calibri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17">
    <xf numFmtId="0" fontId="0" fillId="0" borderId="0" xfId="0"/>
    <xf numFmtId="0" fontId="2" fillId="2" borderId="2" xfId="8" applyFont="1" applyFill="1" applyBorder="1" applyAlignment="1">
      <alignment horizontal="center"/>
    </xf>
    <xf numFmtId="164" fontId="2" fillId="0" borderId="1" xfId="8" applyNumberFormat="1" applyFont="1" applyFill="1" applyBorder="1" applyAlignment="1">
      <alignment horizontal="right" wrapText="1"/>
    </xf>
    <xf numFmtId="43" fontId="0" fillId="0" borderId="0" xfId="1" applyFont="1"/>
    <xf numFmtId="43" fontId="2" fillId="2" borderId="2" xfId="1" applyFont="1" applyFill="1" applyBorder="1" applyAlignment="1">
      <alignment horizontal="center"/>
    </xf>
    <xf numFmtId="43" fontId="2" fillId="0" borderId="1" xfId="1" applyFont="1" applyFill="1" applyBorder="1" applyAlignment="1">
      <alignment horizontal="right" wrapText="1"/>
    </xf>
    <xf numFmtId="14" fontId="2" fillId="0" borderId="1" xfId="8" applyNumberFormat="1" applyFont="1" applyFill="1" applyBorder="1" applyAlignment="1">
      <alignment horizontal="right" wrapText="1"/>
    </xf>
    <xf numFmtId="43" fontId="0" fillId="0" borderId="0" xfId="0" applyNumberFormat="1"/>
    <xf numFmtId="14" fontId="0" fillId="0" borderId="0" xfId="0" applyNumberFormat="1"/>
    <xf numFmtId="167" fontId="0" fillId="0" borderId="0" xfId="10" applyNumberFormat="1" applyFont="1"/>
    <xf numFmtId="167" fontId="0" fillId="0" borderId="0" xfId="0" applyNumberFormat="1"/>
    <xf numFmtId="4" fontId="2" fillId="0" borderId="1" xfId="8" applyNumberFormat="1" applyFont="1" applyFill="1" applyBorder="1" applyAlignment="1">
      <alignment horizontal="right" wrapText="1"/>
    </xf>
    <xf numFmtId="168" fontId="0" fillId="0" borderId="0" xfId="1" applyNumberFormat="1" applyFont="1"/>
    <xf numFmtId="10" fontId="0" fillId="0" borderId="0" xfId="10" applyNumberFormat="1" applyFont="1"/>
    <xf numFmtId="10" fontId="0" fillId="0" borderId="0" xfId="0" applyNumberFormat="1"/>
    <xf numFmtId="0" fontId="5" fillId="0" borderId="0" xfId="0" applyFont="1" applyAlignment="1">
      <alignment horizontal="center"/>
    </xf>
    <xf numFmtId="49" fontId="0" fillId="0" borderId="0" xfId="0" applyNumberFormat="1"/>
    <xf numFmtId="170" fontId="0" fillId="0" borderId="0" xfId="1" applyNumberFormat="1" applyFont="1"/>
    <xf numFmtId="17" fontId="0" fillId="0" borderId="0" xfId="0" applyNumberFormat="1"/>
    <xf numFmtId="170" fontId="0" fillId="0" borderId="3" xfId="1" applyNumberFormat="1" applyFont="1" applyBorder="1"/>
    <xf numFmtId="170" fontId="0" fillId="0" borderId="0" xfId="0" applyNumberFormat="1"/>
    <xf numFmtId="166" fontId="0" fillId="0" borderId="0" xfId="0" applyNumberFormat="1"/>
    <xf numFmtId="0" fontId="6" fillId="0" borderId="0" xfId="0" applyFont="1"/>
    <xf numFmtId="167" fontId="6" fillId="0" borderId="0" xfId="10" applyNumberFormat="1" applyFont="1"/>
    <xf numFmtId="0" fontId="7" fillId="0" borderId="0" xfId="0" applyFont="1"/>
    <xf numFmtId="43" fontId="0" fillId="0" borderId="0" xfId="1" applyFont="1" applyBorder="1" applyAlignment="1">
      <alignment horizontal="center"/>
    </xf>
    <xf numFmtId="0" fontId="2" fillId="2" borderId="0" xfId="9" applyFont="1" applyFill="1" applyBorder="1" applyAlignment="1">
      <alignment horizontal="center"/>
    </xf>
    <xf numFmtId="4" fontId="2" fillId="0" borderId="0" xfId="9" applyNumberFormat="1" applyFont="1" applyFill="1" applyBorder="1" applyAlignment="1">
      <alignment horizontal="right" wrapText="1"/>
    </xf>
    <xf numFmtId="164" fontId="2" fillId="0" borderId="0" xfId="9" applyNumberFormat="1" applyFont="1" applyFill="1" applyBorder="1" applyAlignment="1">
      <alignment horizontal="right" wrapText="1"/>
    </xf>
    <xf numFmtId="14" fontId="2" fillId="0" borderId="0" xfId="9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170" fontId="0" fillId="0" borderId="0" xfId="1" applyNumberFormat="1" applyFont="1" applyAlignment="1">
      <alignment horizontal="center"/>
    </xf>
    <xf numFmtId="168" fontId="7" fillId="0" borderId="0" xfId="0" applyNumberFormat="1" applyFont="1"/>
    <xf numFmtId="168" fontId="6" fillId="0" borderId="0" xfId="1" applyNumberFormat="1" applyFont="1"/>
    <xf numFmtId="168" fontId="6" fillId="0" borderId="3" xfId="1" applyNumberFormat="1" applyFont="1" applyBorder="1"/>
    <xf numFmtId="43" fontId="2" fillId="2" borderId="0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right" wrapText="1"/>
    </xf>
    <xf numFmtId="0" fontId="0" fillId="0" borderId="0" xfId="0" applyBorder="1"/>
    <xf numFmtId="43" fontId="0" fillId="0" borderId="0" xfId="1" applyFont="1" applyBorder="1"/>
    <xf numFmtId="43" fontId="0" fillId="0" borderId="0" xfId="0" applyNumberFormat="1" applyBorder="1"/>
    <xf numFmtId="171" fontId="0" fillId="0" borderId="0" xfId="1" applyNumberFormat="1" applyFont="1"/>
    <xf numFmtId="166" fontId="0" fillId="0" borderId="0" xfId="10" applyNumberFormat="1" applyFont="1"/>
    <xf numFmtId="0" fontId="2" fillId="2" borderId="0" xfId="6" applyFont="1" applyFill="1" applyBorder="1" applyAlignment="1">
      <alignment horizontal="center"/>
    </xf>
    <xf numFmtId="4" fontId="2" fillId="0" borderId="0" xfId="6" applyNumberFormat="1" applyFont="1" applyFill="1" applyBorder="1" applyAlignment="1">
      <alignment horizontal="right" wrapText="1"/>
    </xf>
    <xf numFmtId="170" fontId="0" fillId="0" borderId="0" xfId="1" applyNumberFormat="1" applyFont="1" applyBorder="1"/>
    <xf numFmtId="0" fontId="2" fillId="2" borderId="0" xfId="3" applyFont="1" applyFill="1" applyBorder="1" applyAlignment="1">
      <alignment horizontal="center"/>
    </xf>
    <xf numFmtId="0" fontId="2" fillId="0" borderId="0" xfId="3" applyFont="1" applyFill="1" applyBorder="1" applyAlignment="1">
      <alignment horizontal="left" wrapText="1"/>
    </xf>
    <xf numFmtId="0" fontId="2" fillId="0" borderId="0" xfId="3" applyFont="1" applyFill="1" applyBorder="1" applyAlignment="1">
      <alignment horizontal="center"/>
    </xf>
    <xf numFmtId="0" fontId="10" fillId="0" borderId="0" xfId="3" applyFont="1" applyFill="1" applyBorder="1" applyAlignment="1">
      <alignment horizontal="center"/>
    </xf>
    <xf numFmtId="170" fontId="9" fillId="0" borderId="0" xfId="1" applyNumberFormat="1" applyFont="1" applyFill="1" applyAlignment="1">
      <alignment horizontal="center"/>
    </xf>
    <xf numFmtId="0" fontId="0" fillId="0" borderId="0" xfId="0" applyNumberFormat="1"/>
    <xf numFmtId="4" fontId="2" fillId="0" borderId="0" xfId="3" applyNumberFormat="1" applyFont="1" applyFill="1" applyBorder="1" applyAlignment="1">
      <alignment horizontal="right" wrapText="1"/>
    </xf>
    <xf numFmtId="4" fontId="0" fillId="0" borderId="0" xfId="0" applyNumberFormat="1" applyBorder="1"/>
    <xf numFmtId="4" fontId="2" fillId="0" borderId="4" xfId="3" applyNumberFormat="1" applyFont="1" applyFill="1" applyBorder="1" applyAlignment="1">
      <alignment horizontal="right" wrapText="1"/>
    </xf>
    <xf numFmtId="9" fontId="0" fillId="0" borderId="0" xfId="0" applyNumberFormat="1"/>
    <xf numFmtId="168" fontId="0" fillId="0" borderId="0" xfId="0" applyNumberFormat="1"/>
    <xf numFmtId="168" fontId="4" fillId="0" borderId="0" xfId="1" applyNumberFormat="1" applyFont="1"/>
    <xf numFmtId="0" fontId="2" fillId="2" borderId="0" xfId="8" applyFont="1" applyFill="1" applyBorder="1" applyAlignment="1">
      <alignment horizontal="center"/>
    </xf>
    <xf numFmtId="14" fontId="0" fillId="0" borderId="0" xfId="0" applyNumberFormat="1" applyBorder="1"/>
    <xf numFmtId="10" fontId="0" fillId="0" borderId="0" xfId="10" applyNumberFormat="1" applyFont="1" applyBorder="1"/>
    <xf numFmtId="0" fontId="11" fillId="3" borderId="0" xfId="6" applyFont="1" applyFill="1" applyBorder="1" applyAlignment="1">
      <alignment horizontal="center"/>
    </xf>
    <xf numFmtId="43" fontId="11" fillId="3" borderId="0" xfId="1" applyFont="1" applyFill="1" applyBorder="1" applyAlignment="1">
      <alignment horizontal="center"/>
    </xf>
    <xf numFmtId="43" fontId="11" fillId="0" borderId="0" xfId="1" applyFont="1" applyFill="1" applyBorder="1" applyAlignment="1">
      <alignment horizontal="right" wrapText="1"/>
    </xf>
    <xf numFmtId="0" fontId="11" fillId="3" borderId="0" xfId="4" applyFont="1" applyFill="1" applyBorder="1" applyAlignment="1">
      <alignment horizontal="center"/>
    </xf>
    <xf numFmtId="164" fontId="11" fillId="0" borderId="0" xfId="4" applyNumberFormat="1" applyFont="1" applyFill="1" applyBorder="1" applyAlignment="1">
      <alignment horizontal="right" wrapText="1"/>
    </xf>
    <xf numFmtId="4" fontId="11" fillId="0" borderId="0" xfId="4" applyNumberFormat="1" applyFont="1" applyFill="1" applyBorder="1" applyAlignment="1">
      <alignment horizontal="right" wrapText="1"/>
    </xf>
    <xf numFmtId="165" fontId="0" fillId="0" borderId="0" xfId="10" applyNumberFormat="1" applyFont="1"/>
    <xf numFmtId="0" fontId="4" fillId="0" borderId="0" xfId="0" applyFont="1"/>
    <xf numFmtId="4" fontId="11" fillId="0" borderId="0" xfId="6" applyNumberFormat="1" applyFont="1" applyFill="1" applyBorder="1" applyAlignment="1">
      <alignment horizontal="right" wrapText="1"/>
    </xf>
    <xf numFmtId="169" fontId="6" fillId="0" borderId="0" xfId="1" applyNumberFormat="1" applyFont="1"/>
    <xf numFmtId="169" fontId="6" fillId="0" borderId="3" xfId="1" applyNumberFormat="1" applyFont="1" applyBorder="1"/>
    <xf numFmtId="0" fontId="12" fillId="3" borderId="0" xfId="5" applyFont="1" applyFill="1" applyBorder="1" applyAlignment="1">
      <alignment horizontal="center"/>
    </xf>
    <xf numFmtId="164" fontId="12" fillId="0" borderId="0" xfId="5" applyNumberFormat="1" applyFont="1" applyFill="1" applyBorder="1" applyAlignment="1">
      <alignment horizontal="right" wrapText="1"/>
    </xf>
    <xf numFmtId="4" fontId="12" fillId="0" borderId="0" xfId="5" applyNumberFormat="1" applyFont="1" applyFill="1" applyBorder="1" applyAlignment="1">
      <alignment horizontal="right" wrapText="1"/>
    </xf>
    <xf numFmtId="43" fontId="19" fillId="0" borderId="0" xfId="1" applyFont="1" applyBorder="1"/>
    <xf numFmtId="43" fontId="4" fillId="0" borderId="0" xfId="0" applyNumberFormat="1" applyFont="1" applyBorder="1"/>
    <xf numFmtId="168" fontId="7" fillId="0" borderId="0" xfId="0" applyNumberFormat="1" applyFont="1" applyBorder="1"/>
    <xf numFmtId="0" fontId="0" fillId="4" borderId="0" xfId="0" applyFill="1"/>
    <xf numFmtId="169" fontId="20" fillId="0" borderId="0" xfId="1" applyNumberFormat="1" applyFont="1"/>
    <xf numFmtId="169" fontId="20" fillId="0" borderId="0" xfId="0" applyNumberFormat="1" applyFont="1"/>
    <xf numFmtId="0" fontId="12" fillId="3" borderId="0" xfId="7" applyFont="1" applyFill="1" applyBorder="1" applyAlignment="1">
      <alignment horizontal="center"/>
    </xf>
    <xf numFmtId="43" fontId="12" fillId="3" borderId="0" xfId="1" applyFont="1" applyFill="1" applyBorder="1" applyAlignment="1">
      <alignment horizontal="center"/>
    </xf>
    <xf numFmtId="43" fontId="12" fillId="0" borderId="0" xfId="1" applyFont="1" applyFill="1" applyBorder="1" applyAlignment="1">
      <alignment horizontal="right" wrapText="1"/>
    </xf>
    <xf numFmtId="0" fontId="21" fillId="0" borderId="0" xfId="0" applyFont="1"/>
    <xf numFmtId="4" fontId="12" fillId="0" borderId="0" xfId="7" applyNumberFormat="1" applyFont="1" applyFill="1" applyBorder="1" applyAlignment="1">
      <alignment horizontal="right" wrapText="1"/>
    </xf>
    <xf numFmtId="4" fontId="12" fillId="0" borderId="1" xfId="5" applyNumberFormat="1" applyFont="1" applyFill="1" applyBorder="1" applyAlignment="1">
      <alignment horizontal="right" wrapText="1"/>
    </xf>
    <xf numFmtId="170" fontId="5" fillId="0" borderId="0" xfId="1" applyNumberFormat="1" applyFont="1" applyAlignment="1">
      <alignment horizontal="center"/>
    </xf>
    <xf numFmtId="165" fontId="11" fillId="0" borderId="0" xfId="10" applyNumberFormat="1" applyFont="1" applyFill="1" applyBorder="1" applyAlignment="1">
      <alignment horizontal="right" wrapText="1"/>
    </xf>
    <xf numFmtId="0" fontId="0" fillId="0" borderId="0" xfId="0" applyFill="1"/>
    <xf numFmtId="0" fontId="6" fillId="0" borderId="0" xfId="0" applyFont="1" applyFill="1"/>
    <xf numFmtId="169" fontId="6" fillId="0" borderId="0" xfId="1" applyNumberFormat="1" applyFont="1" applyFill="1"/>
    <xf numFmtId="169" fontId="6" fillId="0" borderId="3" xfId="1" applyNumberFormat="1" applyFont="1" applyFill="1" applyBorder="1"/>
    <xf numFmtId="43" fontId="19" fillId="0" borderId="0" xfId="1" applyFont="1" applyBorder="1" applyAlignment="1">
      <alignment horizontal="right"/>
    </xf>
    <xf numFmtId="170" fontId="0" fillId="0" borderId="0" xfId="1" applyNumberFormat="1" applyFont="1" applyFill="1"/>
    <xf numFmtId="169" fontId="20" fillId="0" borderId="0" xfId="0" applyNumberFormat="1" applyFont="1"/>
    <xf numFmtId="0" fontId="21" fillId="0" borderId="0" xfId="0" applyFont="1"/>
    <xf numFmtId="169" fontId="0" fillId="0" borderId="0" xfId="0" applyNumberFormat="1"/>
    <xf numFmtId="169" fontId="20" fillId="0" borderId="0" xfId="2" applyNumberFormat="1" applyFont="1"/>
    <xf numFmtId="43" fontId="0" fillId="0" borderId="4" xfId="1" applyFont="1" applyBorder="1"/>
    <xf numFmtId="6" fontId="0" fillId="0" borderId="0" xfId="0" applyNumberFormat="1" applyBorder="1"/>
    <xf numFmtId="169" fontId="0" fillId="0" borderId="0" xfId="1" applyNumberFormat="1" applyFont="1"/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170" fontId="0" fillId="0" borderId="0" xfId="0" applyNumberFormat="1" applyBorder="1"/>
    <xf numFmtId="0" fontId="18" fillId="3" borderId="0" xfId="5" applyFont="1" applyFill="1" applyBorder="1" applyAlignment="1">
      <alignment horizontal="center"/>
    </xf>
    <xf numFmtId="164" fontId="18" fillId="0" borderId="0" xfId="5" applyNumberFormat="1" applyFont="1" applyFill="1" applyBorder="1" applyAlignment="1">
      <alignment horizontal="right" wrapText="1"/>
    </xf>
    <xf numFmtId="4" fontId="18" fillId="0" borderId="0" xfId="5" applyNumberFormat="1" applyFont="1" applyFill="1" applyBorder="1" applyAlignment="1">
      <alignment horizontal="right" wrapText="1"/>
    </xf>
    <xf numFmtId="0" fontId="18" fillId="3" borderId="0" xfId="7" applyFont="1" applyFill="1" applyBorder="1" applyAlignment="1">
      <alignment horizontal="center"/>
    </xf>
    <xf numFmtId="4" fontId="18" fillId="0" borderId="0" xfId="7" applyNumberFormat="1" applyFont="1" applyFill="1" applyBorder="1" applyAlignment="1">
      <alignment horizontal="right" wrapText="1"/>
    </xf>
    <xf numFmtId="170" fontId="0" fillId="5" borderId="0" xfId="1" applyNumberFormat="1" applyFont="1" applyFill="1"/>
    <xf numFmtId="49" fontId="0" fillId="4" borderId="0" xfId="0" applyNumberFormat="1" applyFill="1"/>
    <xf numFmtId="49" fontId="0" fillId="0" borderId="0" xfId="0" applyNumberFormat="1" applyFill="1"/>
    <xf numFmtId="43" fontId="19" fillId="0" borderId="0" xfId="2" applyFont="1" applyBorder="1" applyAlignment="1">
      <alignment horizontal="right" wrapText="1"/>
    </xf>
    <xf numFmtId="43" fontId="0" fillId="0" borderId="0" xfId="1" applyFont="1" applyBorder="1" applyAlignment="1">
      <alignment horizontal="center"/>
    </xf>
    <xf numFmtId="43" fontId="0" fillId="0" borderId="5" xfId="1" applyFont="1" applyBorder="1" applyAlignment="1">
      <alignment horizontal="center"/>
    </xf>
  </cellXfs>
  <cellStyles count="13">
    <cellStyle name="Comma" xfId="1" builtinId="3"/>
    <cellStyle name="Comma 3" xfId="2"/>
    <cellStyle name="Normal" xfId="0" builtinId="0"/>
    <cellStyle name="Normal_Labor" xfId="3"/>
    <cellStyle name="Normal_Labor%" xfId="4"/>
    <cellStyle name="Normal_Labor_1" xfId="5"/>
    <cellStyle name="Normal_OpEq" xfId="6"/>
    <cellStyle name="Normal_OpEq_1" xfId="7"/>
    <cellStyle name="Normal_Sheet1" xfId="8"/>
    <cellStyle name="Normal_Sheet1_1" xfId="9"/>
    <cellStyle name="Percent" xfId="10" builtinId="5"/>
    <cellStyle name="Percent 2 2" xfId="11"/>
    <cellStyle name="Percent 2 3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81"/>
  <sheetViews>
    <sheetView topLeftCell="AZ37" workbookViewId="0">
      <selection activeCell="BJ67" sqref="BJ67"/>
    </sheetView>
  </sheetViews>
  <sheetFormatPr defaultRowHeight="12.75" x14ac:dyDescent="0.2"/>
  <cols>
    <col min="2" max="2" width="9.7109375" bestFit="1" customWidth="1"/>
    <col min="3" max="3" width="14.85546875" style="3" bestFit="1" customWidth="1"/>
    <col min="5" max="5" width="10.140625" bestFit="1" customWidth="1"/>
    <col min="6" max="6" width="14.85546875" style="3" bestFit="1" customWidth="1"/>
    <col min="8" max="8" width="9.7109375" bestFit="1" customWidth="1"/>
    <col min="9" max="9" width="14.85546875" style="3" bestFit="1" customWidth="1"/>
    <col min="11" max="11" width="9.7109375" bestFit="1" customWidth="1"/>
    <col min="12" max="12" width="14.85546875" style="3" bestFit="1" customWidth="1"/>
    <col min="14" max="14" width="10.85546875" customWidth="1"/>
    <col min="15" max="15" width="14.85546875" style="3" bestFit="1" customWidth="1"/>
    <col min="17" max="17" width="10.140625" customWidth="1"/>
    <col min="18" max="18" width="15.42578125" style="3" customWidth="1"/>
    <col min="20" max="20" width="10.140625" bestFit="1" customWidth="1"/>
    <col min="21" max="21" width="14.5703125" style="3" customWidth="1"/>
    <col min="22" max="23" width="10.140625" customWidth="1"/>
    <col min="24" max="24" width="15" customWidth="1"/>
    <col min="25" max="25" width="11.7109375" customWidth="1"/>
    <col min="26" max="27" width="15" customWidth="1"/>
    <col min="28" max="29" width="10.42578125" customWidth="1"/>
    <col min="30" max="30" width="15" style="3" bestFit="1" customWidth="1"/>
    <col min="31" max="32" width="10.42578125" customWidth="1"/>
    <col min="33" max="33" width="15.140625" bestFit="1" customWidth="1"/>
    <col min="34" max="35" width="10.42578125" customWidth="1"/>
    <col min="36" max="36" width="15.140625" bestFit="1" customWidth="1"/>
    <col min="37" max="38" width="10.42578125" customWidth="1"/>
    <col min="39" max="39" width="15" bestFit="1" customWidth="1"/>
    <col min="40" max="41" width="10.42578125" customWidth="1"/>
    <col min="42" max="42" width="15.7109375" style="3" bestFit="1" customWidth="1"/>
    <col min="43" max="44" width="10.42578125" customWidth="1"/>
    <col min="45" max="45" width="15" bestFit="1" customWidth="1"/>
    <col min="46" max="47" width="10.42578125" customWidth="1"/>
    <col min="48" max="48" width="15" bestFit="1" customWidth="1"/>
    <col min="49" max="49" width="8.28515625" bestFit="1" customWidth="1"/>
    <col min="50" max="51" width="15" customWidth="1"/>
    <col min="52" max="52" width="9.42578125" customWidth="1"/>
    <col min="53" max="54" width="15" customWidth="1"/>
    <col min="55" max="55" width="10.42578125" customWidth="1"/>
    <col min="56" max="56" width="14.85546875" customWidth="1"/>
    <col min="57" max="57" width="15" bestFit="1" customWidth="1"/>
    <col min="58" max="58" width="10.42578125" customWidth="1"/>
    <col min="59" max="59" width="14.28515625" customWidth="1"/>
    <col min="60" max="60" width="15" bestFit="1" customWidth="1"/>
    <col min="61" max="61" width="10.42578125" customWidth="1"/>
    <col min="62" max="63" width="15" customWidth="1"/>
    <col min="64" max="64" width="14.85546875" customWidth="1"/>
    <col min="65" max="65" width="13.85546875" customWidth="1"/>
    <col min="66" max="66" width="13.28515625" customWidth="1"/>
    <col min="67" max="67" width="10.28515625" bestFit="1" customWidth="1"/>
    <col min="69" max="69" width="21.7109375" customWidth="1"/>
  </cols>
  <sheetData>
    <row r="1" spans="1:67" x14ac:dyDescent="0.2">
      <c r="BJ1" t="s">
        <v>219</v>
      </c>
    </row>
    <row r="2" spans="1:67" x14ac:dyDescent="0.2">
      <c r="C2" s="3" t="s">
        <v>8</v>
      </c>
      <c r="F2" s="3" t="s">
        <v>7</v>
      </c>
      <c r="I2" s="3" t="s">
        <v>6</v>
      </c>
      <c r="L2" s="3" t="s">
        <v>5</v>
      </c>
      <c r="O2" s="3" t="s">
        <v>4</v>
      </c>
      <c r="R2" s="3" t="s">
        <v>19</v>
      </c>
      <c r="T2" s="116" t="s">
        <v>30</v>
      </c>
      <c r="U2" s="116"/>
      <c r="W2" s="115" t="s">
        <v>106</v>
      </c>
      <c r="X2" s="115"/>
      <c r="Y2" s="3"/>
      <c r="Z2" s="115" t="s">
        <v>111</v>
      </c>
      <c r="AA2" s="115"/>
      <c r="AB2" s="3"/>
      <c r="AC2" s="115" t="s">
        <v>135</v>
      </c>
      <c r="AD2" s="115"/>
      <c r="AE2" s="3"/>
      <c r="AF2" s="115" t="s">
        <v>163</v>
      </c>
      <c r="AG2" s="115"/>
      <c r="AH2" s="3"/>
      <c r="AI2" s="115" t="s">
        <v>168</v>
      </c>
      <c r="AJ2" s="115"/>
      <c r="AK2" s="3"/>
      <c r="AL2" s="115" t="s">
        <v>179</v>
      </c>
      <c r="AM2" s="115"/>
      <c r="AN2" s="3"/>
      <c r="AO2" s="115" t="s">
        <v>181</v>
      </c>
      <c r="AP2" s="115"/>
      <c r="AQ2" s="3"/>
      <c r="AR2" s="115" t="s">
        <v>186</v>
      </c>
      <c r="AS2" s="115"/>
      <c r="AT2" s="3"/>
      <c r="AU2" s="115" t="s">
        <v>189</v>
      </c>
      <c r="AV2" s="115"/>
      <c r="AW2" s="25"/>
      <c r="AX2" s="115" t="s">
        <v>197</v>
      </c>
      <c r="AY2" s="115"/>
      <c r="AZ2" s="25"/>
      <c r="BA2" s="115" t="s">
        <v>205</v>
      </c>
      <c r="BB2" s="115"/>
      <c r="BC2" s="3"/>
      <c r="BD2" s="115" t="s">
        <v>212</v>
      </c>
      <c r="BE2" s="115"/>
      <c r="BF2" s="3"/>
      <c r="BG2" s="115" t="s">
        <v>217</v>
      </c>
      <c r="BH2" s="115"/>
      <c r="BI2" s="3"/>
      <c r="BJ2" t="s">
        <v>3</v>
      </c>
      <c r="BK2" s="3" t="s">
        <v>183</v>
      </c>
    </row>
    <row r="3" spans="1:67" ht="15" x14ac:dyDescent="0.25">
      <c r="B3" s="1" t="s">
        <v>1</v>
      </c>
      <c r="C3" s="4" t="s">
        <v>2</v>
      </c>
      <c r="E3" s="1" t="s">
        <v>0</v>
      </c>
      <c r="F3" s="4" t="s">
        <v>2</v>
      </c>
      <c r="H3" s="1" t="s">
        <v>0</v>
      </c>
      <c r="I3" s="4" t="s">
        <v>2</v>
      </c>
      <c r="K3" s="1" t="s">
        <v>1</v>
      </c>
      <c r="L3" s="4" t="s">
        <v>2</v>
      </c>
      <c r="N3" s="1" t="s">
        <v>1</v>
      </c>
      <c r="O3" s="4" t="s">
        <v>2</v>
      </c>
      <c r="Q3" s="1" t="s">
        <v>1</v>
      </c>
      <c r="R3" s="4" t="s">
        <v>2</v>
      </c>
      <c r="T3" s="1" t="s">
        <v>1</v>
      </c>
      <c r="U3" s="4"/>
      <c r="W3" s="26" t="s">
        <v>1</v>
      </c>
      <c r="X3" s="26" t="s">
        <v>2</v>
      </c>
      <c r="Y3" s="3"/>
      <c r="Z3" s="26" t="s">
        <v>1</v>
      </c>
      <c r="AA3" s="26" t="s">
        <v>2</v>
      </c>
      <c r="AB3" s="3"/>
      <c r="AC3" s="26" t="s">
        <v>1</v>
      </c>
      <c r="AD3" s="26" t="s">
        <v>2</v>
      </c>
      <c r="AE3" s="3"/>
      <c r="AF3" s="63" t="s">
        <v>1</v>
      </c>
      <c r="AG3" s="63" t="s">
        <v>2</v>
      </c>
      <c r="AH3" s="3"/>
      <c r="AI3" s="71" t="s">
        <v>1</v>
      </c>
      <c r="AJ3" s="71" t="s">
        <v>2</v>
      </c>
      <c r="AK3" s="38"/>
      <c r="AL3" s="71" t="s">
        <v>1</v>
      </c>
      <c r="AM3" s="71" t="s">
        <v>2</v>
      </c>
      <c r="AN3" s="38"/>
      <c r="AO3" s="71" t="s">
        <v>1</v>
      </c>
      <c r="AP3" s="81" t="s">
        <v>2</v>
      </c>
      <c r="AQ3" s="38"/>
      <c r="AR3" s="71" t="s">
        <v>1</v>
      </c>
      <c r="AS3" s="71" t="s">
        <v>2</v>
      </c>
      <c r="AT3" s="38"/>
      <c r="AU3" s="71" t="s">
        <v>1</v>
      </c>
      <c r="AV3" s="71" t="s">
        <v>2</v>
      </c>
      <c r="AW3" s="25"/>
      <c r="AX3" s="106" t="s">
        <v>1</v>
      </c>
      <c r="AY3" s="106" t="s">
        <v>2</v>
      </c>
      <c r="BA3" s="106" t="s">
        <v>1</v>
      </c>
      <c r="BB3" s="106" t="s">
        <v>2</v>
      </c>
      <c r="BC3" s="38"/>
      <c r="BD3" s="106" t="s">
        <v>1</v>
      </c>
      <c r="BE3" s="106" t="s">
        <v>2</v>
      </c>
      <c r="BF3" s="38"/>
      <c r="BG3" s="106" t="s">
        <v>1</v>
      </c>
      <c r="BH3" s="106" t="s">
        <v>2</v>
      </c>
      <c r="BI3" s="38"/>
      <c r="BJ3" s="57" t="s">
        <v>1</v>
      </c>
      <c r="BK3" s="35" t="s">
        <v>2</v>
      </c>
      <c r="BL3" s="37"/>
    </row>
    <row r="4" spans="1:67" ht="15" x14ac:dyDescent="0.25">
      <c r="A4">
        <v>1</v>
      </c>
      <c r="B4" s="2">
        <v>35259</v>
      </c>
      <c r="C4" s="5">
        <v>5240463.7899999768</v>
      </c>
      <c r="D4" s="13">
        <f t="shared" ref="D4:D29" si="0">C4/C$68</f>
        <v>5.8849445462818346E-2</v>
      </c>
      <c r="E4" s="6">
        <v>35623</v>
      </c>
      <c r="F4" s="5">
        <v>5377313.5799999982</v>
      </c>
      <c r="G4" s="13">
        <f t="shared" ref="G4:G29" si="1">F4/F$68</f>
        <v>6.1632931238807656E-2</v>
      </c>
      <c r="H4" s="2">
        <v>35987</v>
      </c>
      <c r="I4" s="5">
        <v>5061673.9899999937</v>
      </c>
      <c r="J4" s="13">
        <f t="shared" ref="J4:J29" si="2">I4/I$68</f>
        <v>5.7783151447578528E-2</v>
      </c>
      <c r="K4" s="2">
        <v>36351</v>
      </c>
      <c r="L4" s="5">
        <v>5029689.93</v>
      </c>
      <c r="M4" s="13">
        <f t="shared" ref="M4:M29" si="3">L4/L$68</f>
        <v>5.6269129380328763E-2</v>
      </c>
      <c r="N4" s="2">
        <v>36715</v>
      </c>
      <c r="O4" s="5">
        <v>4795078.5099999858</v>
      </c>
      <c r="P4" s="13">
        <f t="shared" ref="P4:P29" si="4">O4/O$68</f>
        <v>5.2069021312615711E-2</v>
      </c>
      <c r="Q4" s="8">
        <v>37079</v>
      </c>
      <c r="R4" s="5">
        <v>5037280.7900000224</v>
      </c>
      <c r="S4" s="13">
        <f t="shared" ref="S4:S29" si="5">R4/R$68</f>
        <v>5.1545898340956339E-2</v>
      </c>
      <c r="T4" s="8">
        <v>37443</v>
      </c>
      <c r="U4" s="3">
        <v>5471291.4900000002</v>
      </c>
      <c r="W4" s="28">
        <v>37807</v>
      </c>
      <c r="X4" s="27">
        <v>5735254.8399999915</v>
      </c>
      <c r="Y4" s="7"/>
      <c r="Z4" s="28">
        <v>38171</v>
      </c>
      <c r="AA4" s="27">
        <v>5979260.9699999839</v>
      </c>
      <c r="AB4" s="7"/>
      <c r="AC4" s="28">
        <v>38535</v>
      </c>
      <c r="AD4" s="27">
        <v>6173959.4299999913</v>
      </c>
      <c r="AE4" s="7"/>
      <c r="AF4" s="64">
        <v>38913</v>
      </c>
      <c r="AG4" s="65">
        <v>6612662.2799999472</v>
      </c>
      <c r="AH4" s="7"/>
      <c r="AI4" s="72">
        <v>39277</v>
      </c>
      <c r="AJ4" s="73">
        <v>7092977.9100000067</v>
      </c>
      <c r="AK4" s="39"/>
      <c r="AL4" s="72">
        <v>39641</v>
      </c>
      <c r="AM4" s="73">
        <v>7354968.5899999356</v>
      </c>
      <c r="AN4" s="39"/>
      <c r="AO4" s="72">
        <v>40005</v>
      </c>
      <c r="AP4" s="82">
        <v>7279598.6699999161</v>
      </c>
      <c r="AQ4" s="39"/>
      <c r="AR4" s="72">
        <v>40369</v>
      </c>
      <c r="AS4" s="73">
        <v>7296844.4599999795</v>
      </c>
      <c r="AT4" s="39"/>
      <c r="AU4" s="72">
        <v>40733</v>
      </c>
      <c r="AV4" s="73">
        <v>7211938.2700000117</v>
      </c>
      <c r="AW4" s="73"/>
      <c r="AX4" s="107">
        <v>41097</v>
      </c>
      <c r="AY4" s="108">
        <v>7133277.3599999556</v>
      </c>
      <c r="AZ4" s="73"/>
      <c r="BA4" s="107">
        <v>41461</v>
      </c>
      <c r="BB4" s="108">
        <v>7175573.1399998954</v>
      </c>
      <c r="BC4" s="39"/>
      <c r="BD4" s="107">
        <v>41825</v>
      </c>
      <c r="BE4" s="108">
        <v>7678891.4100000216</v>
      </c>
      <c r="BF4" s="39"/>
      <c r="BG4" s="107">
        <v>42189</v>
      </c>
      <c r="BH4" s="108">
        <v>7515987.1400000341</v>
      </c>
      <c r="BI4" s="39"/>
      <c r="BJ4" s="72">
        <v>42553</v>
      </c>
      <c r="BK4" s="39">
        <f>BB4+BE4+BH4</f>
        <v>22370451.689999953</v>
      </c>
    </row>
    <row r="5" spans="1:67" ht="15" x14ac:dyDescent="0.25">
      <c r="A5">
        <v>2</v>
      </c>
      <c r="B5" s="2">
        <v>35273</v>
      </c>
      <c r="C5" s="5">
        <v>4984818.2499999925</v>
      </c>
      <c r="D5" s="13">
        <f t="shared" si="0"/>
        <v>5.5978593021713721E-2</v>
      </c>
      <c r="E5" s="6">
        <v>35637</v>
      </c>
      <c r="F5" s="5">
        <v>5197225.2699999763</v>
      </c>
      <c r="G5" s="13">
        <f t="shared" si="1"/>
        <v>5.9568820551934819E-2</v>
      </c>
      <c r="H5" s="2">
        <v>36001</v>
      </c>
      <c r="I5" s="5">
        <v>5058177.2400000188</v>
      </c>
      <c r="J5" s="13">
        <f t="shared" si="2"/>
        <v>5.7743233184327662E-2</v>
      </c>
      <c r="K5" s="2">
        <v>36365</v>
      </c>
      <c r="L5" s="5">
        <v>5038651.3199999733</v>
      </c>
      <c r="M5" s="13">
        <f t="shared" si="3"/>
        <v>5.6369383992512401E-2</v>
      </c>
      <c r="N5" s="2">
        <v>36729</v>
      </c>
      <c r="O5" s="5">
        <v>4817317.8699999936</v>
      </c>
      <c r="P5" s="13">
        <f t="shared" si="4"/>
        <v>5.2310515108265648E-2</v>
      </c>
      <c r="Q5" s="8">
        <v>37093</v>
      </c>
      <c r="R5" s="5">
        <v>5077940.5700000208</v>
      </c>
      <c r="S5" s="13">
        <f t="shared" si="5"/>
        <v>5.1961965059056758E-2</v>
      </c>
      <c r="T5" s="8">
        <v>37457</v>
      </c>
      <c r="U5" s="3">
        <v>5513198.0499999998</v>
      </c>
      <c r="W5" s="28">
        <v>37821</v>
      </c>
      <c r="X5" s="27">
        <v>5639189.6699999971</v>
      </c>
      <c r="Y5" s="7"/>
      <c r="Z5" s="28">
        <v>38185</v>
      </c>
      <c r="AA5" s="27">
        <v>6040393.7499999842</v>
      </c>
      <c r="AB5" s="7"/>
      <c r="AC5" s="28">
        <v>38549</v>
      </c>
      <c r="AD5" s="27">
        <v>6131004.410000002</v>
      </c>
      <c r="AE5" s="7"/>
      <c r="AF5" s="64">
        <v>38927</v>
      </c>
      <c r="AG5" s="65">
        <v>6619236.6699999841</v>
      </c>
      <c r="AH5" s="7"/>
      <c r="AI5" s="72">
        <v>39291</v>
      </c>
      <c r="AJ5" s="73">
        <v>7237299.7100000326</v>
      </c>
      <c r="AK5" s="39"/>
      <c r="AL5" s="72">
        <v>39655</v>
      </c>
      <c r="AM5" s="73">
        <v>7271541.8299998976</v>
      </c>
      <c r="AN5" s="39"/>
      <c r="AO5" s="72">
        <v>40019</v>
      </c>
      <c r="AP5" s="82">
        <v>7343339.2499998845</v>
      </c>
      <c r="AQ5" s="39"/>
      <c r="AR5" s="72">
        <v>40383</v>
      </c>
      <c r="AS5" s="73">
        <v>7551781.8300000327</v>
      </c>
      <c r="AT5" s="39"/>
      <c r="AU5" s="72">
        <v>40747</v>
      </c>
      <c r="AV5" s="73">
        <v>7146957.8200000366</v>
      </c>
      <c r="AW5" s="73"/>
      <c r="AX5" s="107">
        <v>41111</v>
      </c>
      <c r="AY5" s="108">
        <v>7139605.1200000411</v>
      </c>
      <c r="AZ5" s="73"/>
      <c r="BA5" s="107">
        <v>41475</v>
      </c>
      <c r="BB5" s="108">
        <v>7165437.2999999393</v>
      </c>
      <c r="BC5" s="39"/>
      <c r="BD5" s="107">
        <v>41839</v>
      </c>
      <c r="BE5" s="108">
        <v>7929656.5400000429</v>
      </c>
      <c r="BF5" s="39"/>
      <c r="BG5" s="107">
        <v>42203</v>
      </c>
      <c r="BH5" s="108">
        <v>7531981.990000044</v>
      </c>
      <c r="BI5" s="39"/>
      <c r="BJ5" s="72">
        <v>42567</v>
      </c>
      <c r="BK5" s="39">
        <f t="shared" ref="BK5:BK29" si="6">BB5+BE5+BH5</f>
        <v>22627075.830000024</v>
      </c>
      <c r="BL5" s="39"/>
      <c r="BM5" s="9"/>
      <c r="BN5" s="9"/>
      <c r="BO5" s="10"/>
    </row>
    <row r="6" spans="1:67" ht="15" x14ac:dyDescent="0.25">
      <c r="A6">
        <v>3</v>
      </c>
      <c r="B6" s="2">
        <v>35287</v>
      </c>
      <c r="C6" s="5">
        <v>5074758.79</v>
      </c>
      <c r="D6" s="13">
        <f t="shared" si="0"/>
        <v>5.6988608759963276E-2</v>
      </c>
      <c r="E6" s="6">
        <v>35651</v>
      </c>
      <c r="F6" s="5">
        <v>5192741.6999999741</v>
      </c>
      <c r="G6" s="13">
        <f t="shared" si="1"/>
        <v>5.9517431404286392E-2</v>
      </c>
      <c r="H6" s="2">
        <v>36015</v>
      </c>
      <c r="I6" s="5">
        <v>5129202.9500000142</v>
      </c>
      <c r="J6" s="13">
        <f t="shared" si="2"/>
        <v>5.8554049796719077E-2</v>
      </c>
      <c r="K6" s="2">
        <v>36379</v>
      </c>
      <c r="L6" s="5">
        <v>5018266.2399999714</v>
      </c>
      <c r="M6" s="13">
        <f t="shared" si="3"/>
        <v>5.6141328044747751E-2</v>
      </c>
      <c r="N6" s="2">
        <v>36743</v>
      </c>
      <c r="O6" s="5">
        <v>4804105.6199999806</v>
      </c>
      <c r="P6" s="13">
        <f t="shared" si="4"/>
        <v>5.2167045314099901E-2</v>
      </c>
      <c r="Q6" s="8">
        <v>37107</v>
      </c>
      <c r="R6" s="5">
        <v>5121611.5200000191</v>
      </c>
      <c r="S6" s="13">
        <f t="shared" si="5"/>
        <v>5.240884472350224E-2</v>
      </c>
      <c r="T6" s="8">
        <v>37471</v>
      </c>
      <c r="U6" s="3">
        <v>5547576.6200000001</v>
      </c>
      <c r="W6" s="28">
        <v>37835</v>
      </c>
      <c r="X6" s="27">
        <v>5707140.5099999774</v>
      </c>
      <c r="Y6" s="7"/>
      <c r="Z6" s="28">
        <v>38199</v>
      </c>
      <c r="AA6" s="27">
        <v>6198640.8499999838</v>
      </c>
      <c r="AB6" s="7"/>
      <c r="AC6" s="28">
        <v>38563</v>
      </c>
      <c r="AD6" s="27">
        <v>6088826.5300000273</v>
      </c>
      <c r="AE6" s="7"/>
      <c r="AF6" s="64">
        <v>38941</v>
      </c>
      <c r="AG6" s="65">
        <v>6605778.9100000169</v>
      </c>
      <c r="AH6" s="7"/>
      <c r="AI6" s="72">
        <v>39305</v>
      </c>
      <c r="AJ6" s="73">
        <v>6946234.269999966</v>
      </c>
      <c r="AK6" s="39"/>
      <c r="AL6" s="72">
        <v>39669</v>
      </c>
      <c r="AM6" s="73">
        <v>7311508.9699998861</v>
      </c>
      <c r="AN6" s="39"/>
      <c r="AO6" s="72">
        <v>40033</v>
      </c>
      <c r="AP6" s="82">
        <v>7298191.2999998964</v>
      </c>
      <c r="AQ6" s="39"/>
      <c r="AR6" s="72">
        <v>40397</v>
      </c>
      <c r="AS6" s="73">
        <v>7332731.1200000122</v>
      </c>
      <c r="AT6" s="39"/>
      <c r="AU6" s="72">
        <v>40761</v>
      </c>
      <c r="AV6" s="73">
        <v>7132668.4700000538</v>
      </c>
      <c r="AW6" s="73"/>
      <c r="AX6" s="107">
        <v>41125</v>
      </c>
      <c r="AY6" s="108">
        <v>6984654.1300000139</v>
      </c>
      <c r="AZ6" s="73"/>
      <c r="BA6" s="107">
        <v>41489</v>
      </c>
      <c r="BB6" s="108">
        <v>7380697.099999941</v>
      </c>
      <c r="BC6" s="39"/>
      <c r="BD6" s="107">
        <v>41853</v>
      </c>
      <c r="BE6" s="108">
        <v>7621787.9000000879</v>
      </c>
      <c r="BF6" s="39"/>
      <c r="BG6" s="107">
        <v>42217</v>
      </c>
      <c r="BH6" s="108">
        <v>7639528.1300000101</v>
      </c>
      <c r="BI6" s="39"/>
      <c r="BJ6" s="72">
        <v>42581</v>
      </c>
      <c r="BK6" s="39">
        <f t="shared" si="6"/>
        <v>22642013.13000004</v>
      </c>
      <c r="BL6" s="39">
        <f>SUM(BK4:BK6)</f>
        <v>67639540.650000021</v>
      </c>
      <c r="BM6" s="9">
        <f>ROUND((BL6/$BK$30),6)</f>
        <v>0.124084</v>
      </c>
      <c r="BN6" s="9">
        <f>ROUND((BL6/BK$30),5)</f>
        <v>0.12408</v>
      </c>
      <c r="BO6" s="10"/>
    </row>
    <row r="7" spans="1:67" ht="15" x14ac:dyDescent="0.25">
      <c r="A7">
        <v>4</v>
      </c>
      <c r="B7" s="2">
        <v>35301</v>
      </c>
      <c r="C7" s="5">
        <v>5043352.55</v>
      </c>
      <c r="D7" s="13">
        <f t="shared" si="0"/>
        <v>5.6635922455442085E-2</v>
      </c>
      <c r="E7" s="6">
        <v>35665</v>
      </c>
      <c r="F7" s="5">
        <v>5121844.2799999947</v>
      </c>
      <c r="G7" s="13">
        <f t="shared" si="1"/>
        <v>5.8704829396451171E-2</v>
      </c>
      <c r="H7" s="2">
        <v>36029</v>
      </c>
      <c r="I7" s="5">
        <v>5071691.1300000185</v>
      </c>
      <c r="J7" s="13">
        <f t="shared" si="2"/>
        <v>5.7897505299453728E-2</v>
      </c>
      <c r="K7" s="2">
        <v>36393</v>
      </c>
      <c r="L7" s="5">
        <v>5006539.3399999756</v>
      </c>
      <c r="M7" s="13">
        <f t="shared" si="3"/>
        <v>5.6010134579044399E-2</v>
      </c>
      <c r="N7" s="2">
        <v>36757</v>
      </c>
      <c r="O7" s="5">
        <v>4763002.6100000003</v>
      </c>
      <c r="P7" s="13">
        <f t="shared" si="4"/>
        <v>5.1720714039390152E-2</v>
      </c>
      <c r="Q7" s="8">
        <v>37121</v>
      </c>
      <c r="R7" s="5">
        <v>5122291.8200000413</v>
      </c>
      <c r="S7" s="13">
        <f t="shared" si="5"/>
        <v>5.2415806152913143E-2</v>
      </c>
      <c r="T7" s="8">
        <v>37485</v>
      </c>
      <c r="U7" s="3">
        <v>5689034.5700000003</v>
      </c>
      <c r="W7" s="28">
        <v>37849</v>
      </c>
      <c r="X7" s="27">
        <v>5748021.419999972</v>
      </c>
      <c r="Y7" s="7"/>
      <c r="Z7" s="28">
        <v>38213</v>
      </c>
      <c r="AA7" s="27">
        <v>6055547.1699999962</v>
      </c>
      <c r="AB7" s="7"/>
      <c r="AC7" s="28">
        <v>38577</v>
      </c>
      <c r="AD7" s="27">
        <v>6032725.4699999942</v>
      </c>
      <c r="AE7" s="7"/>
      <c r="AF7" s="64">
        <v>38955</v>
      </c>
      <c r="AG7" s="65">
        <v>6594933.5100000082</v>
      </c>
      <c r="AH7" s="7"/>
      <c r="AI7" s="72">
        <v>39319</v>
      </c>
      <c r="AJ7" s="73">
        <v>6995669.3100000182</v>
      </c>
      <c r="AK7" s="39"/>
      <c r="AL7" s="72">
        <v>39683</v>
      </c>
      <c r="AM7" s="73">
        <v>7399955.0699999165</v>
      </c>
      <c r="AN7" s="39"/>
      <c r="AO7" s="72">
        <v>40047</v>
      </c>
      <c r="AP7" s="82">
        <v>7250331.5499999439</v>
      </c>
      <c r="AQ7" s="39"/>
      <c r="AR7" s="72">
        <v>40411</v>
      </c>
      <c r="AS7" s="73">
        <v>7235125.7500000047</v>
      </c>
      <c r="AT7" s="39"/>
      <c r="AU7" s="72">
        <v>40775</v>
      </c>
      <c r="AV7" s="73">
        <v>7187830.0000000019</v>
      </c>
      <c r="AW7" s="73"/>
      <c r="AX7" s="107">
        <v>41139</v>
      </c>
      <c r="AY7" s="108">
        <v>6999865.0700000552</v>
      </c>
      <c r="AZ7" s="73"/>
      <c r="BA7" s="107">
        <v>41503</v>
      </c>
      <c r="BB7" s="108">
        <v>7511440.2399999658</v>
      </c>
      <c r="BC7" s="39"/>
      <c r="BD7" s="107">
        <v>41867</v>
      </c>
      <c r="BE7" s="108">
        <v>7722924.5000000764</v>
      </c>
      <c r="BF7" s="39"/>
      <c r="BG7" s="107">
        <v>42231</v>
      </c>
      <c r="BH7" s="108">
        <v>7651945.8000000278</v>
      </c>
      <c r="BI7" s="39"/>
      <c r="BJ7" s="72">
        <v>42595</v>
      </c>
      <c r="BK7" s="39">
        <f t="shared" si="6"/>
        <v>22886310.54000007</v>
      </c>
      <c r="BL7" s="39"/>
      <c r="BM7" s="9"/>
      <c r="BN7" s="9"/>
      <c r="BO7" s="10"/>
    </row>
    <row r="8" spans="1:67" ht="15" x14ac:dyDescent="0.25">
      <c r="A8">
        <v>5</v>
      </c>
      <c r="B8" s="2">
        <v>35315</v>
      </c>
      <c r="C8" s="5">
        <v>5007234.009999969</v>
      </c>
      <c r="D8" s="13">
        <f t="shared" si="0"/>
        <v>5.6230317887773003E-2</v>
      </c>
      <c r="E8" s="6">
        <v>35679</v>
      </c>
      <c r="F8" s="5">
        <v>5098315.5599999996</v>
      </c>
      <c r="G8" s="13">
        <f t="shared" si="1"/>
        <v>5.8435151245768195E-2</v>
      </c>
      <c r="H8" s="2">
        <v>36043</v>
      </c>
      <c r="I8" s="5">
        <v>5002673.6000000052</v>
      </c>
      <c r="J8" s="13">
        <f t="shared" si="2"/>
        <v>5.7109613705406487E-2</v>
      </c>
      <c r="K8" s="2">
        <v>36407</v>
      </c>
      <c r="L8" s="5">
        <v>4971887.5699999556</v>
      </c>
      <c r="M8" s="13">
        <f t="shared" si="3"/>
        <v>5.5622471530919183E-2</v>
      </c>
      <c r="N8" s="2">
        <v>36771</v>
      </c>
      <c r="O8" s="5">
        <v>4736470.6499999845</v>
      </c>
      <c r="P8" s="13">
        <f t="shared" si="4"/>
        <v>5.1432607559417982E-2</v>
      </c>
      <c r="Q8" s="8">
        <v>37135</v>
      </c>
      <c r="R8" s="5">
        <v>5059446.6400000388</v>
      </c>
      <c r="S8" s="13">
        <f t="shared" si="5"/>
        <v>5.1772718861466123E-2</v>
      </c>
      <c r="T8" s="8">
        <v>37499</v>
      </c>
      <c r="U8" s="3">
        <v>5509126.1900000004</v>
      </c>
      <c r="W8" s="28">
        <v>37863</v>
      </c>
      <c r="X8" s="27">
        <v>5795530.4599999888</v>
      </c>
      <c r="Y8" s="7"/>
      <c r="Z8" s="28">
        <v>38227</v>
      </c>
      <c r="AA8" s="27">
        <v>6024813.4799999809</v>
      </c>
      <c r="AB8" s="7"/>
      <c r="AC8" s="28">
        <v>38591</v>
      </c>
      <c r="AD8" s="27">
        <v>6046076.0500000026</v>
      </c>
      <c r="AE8" s="7"/>
      <c r="AF8" s="64">
        <v>38969</v>
      </c>
      <c r="AG8" s="65">
        <v>6623729.1499999175</v>
      </c>
      <c r="AH8" s="7"/>
      <c r="AI8" s="72">
        <v>39333</v>
      </c>
      <c r="AJ8" s="73">
        <v>7004249.3599999687</v>
      </c>
      <c r="AK8" s="39"/>
      <c r="AL8" s="72">
        <v>39697</v>
      </c>
      <c r="AM8" s="73">
        <v>7394630.9899998819</v>
      </c>
      <c r="AN8" s="39"/>
      <c r="AO8" s="72">
        <v>40061</v>
      </c>
      <c r="AP8" s="82">
        <v>7239153.5599999279</v>
      </c>
      <c r="AQ8" s="39"/>
      <c r="AR8" s="72">
        <v>40425</v>
      </c>
      <c r="AS8" s="73">
        <v>7222107.5399999842</v>
      </c>
      <c r="AT8" s="39"/>
      <c r="AU8" s="72">
        <v>40789</v>
      </c>
      <c r="AV8" s="73">
        <v>6998931.219999996</v>
      </c>
      <c r="AW8" s="73"/>
      <c r="AX8" s="107">
        <v>41153</v>
      </c>
      <c r="AY8" s="108">
        <v>7023843.5100000435</v>
      </c>
      <c r="AZ8" s="73"/>
      <c r="BA8" s="107">
        <v>41517</v>
      </c>
      <c r="BB8" s="108">
        <v>7415343.5199999688</v>
      </c>
      <c r="BC8" s="39"/>
      <c r="BD8" s="107">
        <v>41881</v>
      </c>
      <c r="BE8" s="108">
        <v>7574616.3320000907</v>
      </c>
      <c r="BF8" s="39"/>
      <c r="BG8" s="107">
        <v>42245</v>
      </c>
      <c r="BH8" s="108">
        <v>7638572.7300000042</v>
      </c>
      <c r="BI8" s="39"/>
      <c r="BJ8" s="72">
        <v>42609</v>
      </c>
      <c r="BK8" s="39">
        <f t="shared" si="6"/>
        <v>22628532.582000062</v>
      </c>
      <c r="BL8" s="39">
        <f>SUM(BK7:BK8)</f>
        <v>45514843.122000128</v>
      </c>
      <c r="BM8" s="9">
        <f>ROUND((BL8/$BK$30),6)</f>
        <v>8.3496000000000001E-2</v>
      </c>
      <c r="BN8" s="9">
        <f>ROUND((BL8/BK$30),5)</f>
        <v>8.3500000000000005E-2</v>
      </c>
      <c r="BO8" s="10"/>
    </row>
    <row r="9" spans="1:67" ht="15" x14ac:dyDescent="0.25">
      <c r="A9">
        <v>6</v>
      </c>
      <c r="B9" s="2">
        <v>35329</v>
      </c>
      <c r="C9" s="5">
        <v>5024851.9099999815</v>
      </c>
      <c r="D9" s="13">
        <f t="shared" si="0"/>
        <v>5.6428163667606189E-2</v>
      </c>
      <c r="E9" s="6">
        <v>35693</v>
      </c>
      <c r="F9" s="5">
        <v>5104555.2400000086</v>
      </c>
      <c r="G9" s="13">
        <f t="shared" si="1"/>
        <v>5.8506668326308756E-2</v>
      </c>
      <c r="H9" s="2">
        <v>36057</v>
      </c>
      <c r="I9" s="5">
        <v>5074720.7900000364</v>
      </c>
      <c r="J9" s="13">
        <f t="shared" si="2"/>
        <v>5.7932091348053771E-2</v>
      </c>
      <c r="K9" s="2">
        <v>36421</v>
      </c>
      <c r="L9" s="5">
        <v>5059879.9800000088</v>
      </c>
      <c r="M9" s="13">
        <f t="shared" si="3"/>
        <v>5.6606877403187324E-2</v>
      </c>
      <c r="N9" s="2">
        <v>36785</v>
      </c>
      <c r="O9" s="5">
        <v>4763740.43</v>
      </c>
      <c r="P9" s="13">
        <f t="shared" si="4"/>
        <v>5.172872591348663E-2</v>
      </c>
      <c r="Q9" s="8">
        <v>37149</v>
      </c>
      <c r="R9" s="5">
        <v>5156246.3100000238</v>
      </c>
      <c r="S9" s="13">
        <f t="shared" si="5"/>
        <v>5.2763258431776108E-2</v>
      </c>
      <c r="T9" s="8">
        <v>37513</v>
      </c>
      <c r="U9" s="3">
        <v>5644698.5800000001</v>
      </c>
      <c r="W9" s="28">
        <v>37877</v>
      </c>
      <c r="X9" s="27">
        <v>5739600.4899999807</v>
      </c>
      <c r="Y9" s="7"/>
      <c r="Z9" s="28">
        <v>38241</v>
      </c>
      <c r="AA9" s="27">
        <v>5968162.9699999485</v>
      </c>
      <c r="AB9" s="7"/>
      <c r="AC9" s="28">
        <v>38605</v>
      </c>
      <c r="AD9" s="27">
        <v>6085636.3800000241</v>
      </c>
      <c r="AE9" s="7"/>
      <c r="AF9" s="64">
        <v>38983</v>
      </c>
      <c r="AG9" s="65">
        <v>6639022.4100000178</v>
      </c>
      <c r="AH9" s="7"/>
      <c r="AI9" s="72">
        <v>39347</v>
      </c>
      <c r="AJ9" s="73">
        <v>6988793.1199999731</v>
      </c>
      <c r="AK9" s="39"/>
      <c r="AL9" s="72">
        <v>39711</v>
      </c>
      <c r="AM9" s="73">
        <v>7370230.629999931</v>
      </c>
      <c r="AN9" s="39"/>
      <c r="AO9" s="72">
        <v>40075</v>
      </c>
      <c r="AP9" s="82">
        <v>7386899.5399998436</v>
      </c>
      <c r="AQ9" s="39"/>
      <c r="AR9" s="72">
        <v>40439</v>
      </c>
      <c r="AS9" s="73">
        <v>7215670.6400000285</v>
      </c>
      <c r="AT9" s="39"/>
      <c r="AU9" s="72">
        <v>40803</v>
      </c>
      <c r="AV9" s="73">
        <v>7190924.3099999642</v>
      </c>
      <c r="AW9" s="73"/>
      <c r="AX9" s="107">
        <v>41167</v>
      </c>
      <c r="AY9" s="108">
        <v>7060745.8999999836</v>
      </c>
      <c r="AZ9" s="73"/>
      <c r="BA9" s="107">
        <v>41531</v>
      </c>
      <c r="BB9" s="108">
        <v>7612419.9399999669</v>
      </c>
      <c r="BC9" s="39"/>
      <c r="BD9" s="107">
        <v>41895</v>
      </c>
      <c r="BE9" s="108">
        <v>7762151.9200000698</v>
      </c>
      <c r="BF9" s="39"/>
      <c r="BG9" s="107">
        <v>42259</v>
      </c>
      <c r="BH9" s="108">
        <v>7695147.9600000056</v>
      </c>
      <c r="BI9" s="39"/>
      <c r="BJ9" s="72">
        <v>42623</v>
      </c>
      <c r="BK9" s="39">
        <f t="shared" si="6"/>
        <v>23069719.820000041</v>
      </c>
      <c r="BL9" s="39"/>
      <c r="BM9" s="9"/>
      <c r="BN9" s="9"/>
      <c r="BO9" s="10"/>
    </row>
    <row r="10" spans="1:67" ht="15" x14ac:dyDescent="0.25">
      <c r="A10">
        <v>7</v>
      </c>
      <c r="B10" s="2">
        <v>35343</v>
      </c>
      <c r="C10" s="5">
        <v>5037965.4299999457</v>
      </c>
      <c r="D10" s="13">
        <f t="shared" si="0"/>
        <v>5.6575426087687425E-2</v>
      </c>
      <c r="E10" s="6">
        <v>35707</v>
      </c>
      <c r="F10" s="5">
        <v>5152148.42</v>
      </c>
      <c r="G10" s="13">
        <f t="shared" si="1"/>
        <v>5.90521650965335E-2</v>
      </c>
      <c r="H10" s="2">
        <v>36071</v>
      </c>
      <c r="I10" s="5">
        <v>5133970.3400000166</v>
      </c>
      <c r="J10" s="13">
        <f t="shared" si="2"/>
        <v>5.8608473455556857E-2</v>
      </c>
      <c r="K10" s="2">
        <v>36435</v>
      </c>
      <c r="L10" s="5">
        <v>5065030.4499999462</v>
      </c>
      <c r="M10" s="13">
        <f t="shared" si="3"/>
        <v>5.6664497746951925E-2</v>
      </c>
      <c r="N10" s="2">
        <v>36799</v>
      </c>
      <c r="O10" s="5">
        <v>4845645.6500000004</v>
      </c>
      <c r="P10" s="13">
        <f t="shared" si="4"/>
        <v>5.2618122121890841E-2</v>
      </c>
      <c r="Q10" s="8">
        <v>37163</v>
      </c>
      <c r="R10" s="5">
        <v>5142240.1600000253</v>
      </c>
      <c r="S10" s="13">
        <f t="shared" si="5"/>
        <v>5.2619935155956074E-2</v>
      </c>
      <c r="T10" s="8">
        <v>37527</v>
      </c>
      <c r="U10" s="3">
        <v>5647584.0700000003</v>
      </c>
      <c r="W10" s="28">
        <v>37891</v>
      </c>
      <c r="X10" s="27">
        <v>5747051.8499999866</v>
      </c>
      <c r="Y10" s="7"/>
      <c r="Z10" s="28">
        <v>38255</v>
      </c>
      <c r="AA10" s="27">
        <v>5996600.9099999815</v>
      </c>
      <c r="AB10" s="7"/>
      <c r="AC10" s="28">
        <v>38619</v>
      </c>
      <c r="AD10" s="27">
        <v>6068502.6200000225</v>
      </c>
      <c r="AE10" s="7"/>
      <c r="AF10" s="64">
        <v>38997</v>
      </c>
      <c r="AG10" s="65">
        <v>6650833.9800000126</v>
      </c>
      <c r="AH10" s="7"/>
      <c r="AI10" s="72">
        <v>39361</v>
      </c>
      <c r="AJ10" s="73">
        <v>7063430.5200000126</v>
      </c>
      <c r="AK10" s="39"/>
      <c r="AL10" s="72">
        <v>39725</v>
      </c>
      <c r="AM10" s="73">
        <v>7293328.5499998927</v>
      </c>
      <c r="AN10" s="39"/>
      <c r="AO10" s="72">
        <v>40089</v>
      </c>
      <c r="AP10" s="82">
        <v>7303459.9499999397</v>
      </c>
      <c r="AQ10" s="39"/>
      <c r="AR10" s="72">
        <v>40453</v>
      </c>
      <c r="AS10" s="73">
        <v>7276999.2400000421</v>
      </c>
      <c r="AT10" s="39"/>
      <c r="AU10" s="72">
        <v>40817</v>
      </c>
      <c r="AV10" s="73">
        <v>7123184.7100000214</v>
      </c>
      <c r="AW10" s="73"/>
      <c r="AX10" s="107">
        <v>41181</v>
      </c>
      <c r="AY10" s="108">
        <v>7092644.0300000329</v>
      </c>
      <c r="AZ10" s="73"/>
      <c r="BA10" s="107">
        <v>41545</v>
      </c>
      <c r="BB10" s="108">
        <v>7453039.0699999891</v>
      </c>
      <c r="BC10" s="39"/>
      <c r="BD10" s="107">
        <v>41909</v>
      </c>
      <c r="BE10" s="108">
        <v>7713517.9500000514</v>
      </c>
      <c r="BF10" s="39"/>
      <c r="BG10" s="107">
        <v>42273</v>
      </c>
      <c r="BH10" s="108">
        <v>7663970.5200000089</v>
      </c>
      <c r="BI10" s="39"/>
      <c r="BJ10" s="72">
        <v>42637</v>
      </c>
      <c r="BK10" s="39">
        <f t="shared" si="6"/>
        <v>22830527.540000051</v>
      </c>
      <c r="BL10" s="39">
        <f>SUM(BK9:BK10)</f>
        <v>45900247.360000089</v>
      </c>
      <c r="BM10" s="9">
        <f>ROUND((BL10/$BK$30),6)</f>
        <v>8.4203E-2</v>
      </c>
      <c r="BN10" s="9">
        <f>ROUND((BL10/BK$30),5)</f>
        <v>8.4199999999999997E-2</v>
      </c>
      <c r="BO10" s="10"/>
    </row>
    <row r="11" spans="1:67" ht="15" x14ac:dyDescent="0.25">
      <c r="A11">
        <v>8</v>
      </c>
      <c r="B11" s="2">
        <v>35357</v>
      </c>
      <c r="C11" s="5">
        <v>5017231.0199999996</v>
      </c>
      <c r="D11" s="13">
        <f t="shared" si="0"/>
        <v>5.6342582473192078E-2</v>
      </c>
      <c r="E11" s="6">
        <v>35721</v>
      </c>
      <c r="F11" s="5">
        <v>5141340.2599999942</v>
      </c>
      <c r="G11" s="13">
        <f t="shared" si="1"/>
        <v>5.8928285658931802E-2</v>
      </c>
      <c r="H11" s="2">
        <v>36085</v>
      </c>
      <c r="I11" s="5">
        <v>4987069.0300000114</v>
      </c>
      <c r="J11" s="13">
        <f t="shared" si="2"/>
        <v>5.6931474766911953E-2</v>
      </c>
      <c r="K11" s="2">
        <v>36449</v>
      </c>
      <c r="L11" s="5">
        <v>5116892.55</v>
      </c>
      <c r="M11" s="13">
        <f t="shared" si="3"/>
        <v>5.7244699559678494E-2</v>
      </c>
      <c r="N11" s="2">
        <v>36813</v>
      </c>
      <c r="O11" s="5">
        <v>4882002.3800000139</v>
      </c>
      <c r="P11" s="13">
        <f t="shared" si="4"/>
        <v>5.3012914270815996E-2</v>
      </c>
      <c r="Q11" s="8">
        <v>37177</v>
      </c>
      <c r="R11" s="5">
        <v>5191150.030000018</v>
      </c>
      <c r="S11" s="13">
        <f t="shared" si="5"/>
        <v>5.3120424068921555E-2</v>
      </c>
      <c r="T11" s="8">
        <v>37541</v>
      </c>
      <c r="U11" s="3">
        <v>6075533.8600000003</v>
      </c>
      <c r="W11" s="28">
        <v>37905</v>
      </c>
      <c r="X11" s="27">
        <v>5694501.6499999491</v>
      </c>
      <c r="Y11" s="7"/>
      <c r="Z11" s="28">
        <v>38269</v>
      </c>
      <c r="AA11" s="27">
        <v>6190208.9999999804</v>
      </c>
      <c r="AB11" s="7"/>
      <c r="AC11" s="28">
        <v>38633</v>
      </c>
      <c r="AD11" s="27">
        <v>6027837.4800000265</v>
      </c>
      <c r="AE11" s="7"/>
      <c r="AF11" s="64">
        <v>39011</v>
      </c>
      <c r="AG11" s="65">
        <v>6651497.3399999812</v>
      </c>
      <c r="AH11" s="7"/>
      <c r="AI11" s="72">
        <v>39375</v>
      </c>
      <c r="AJ11" s="73">
        <v>7096223.8799999626</v>
      </c>
      <c r="AK11" s="39"/>
      <c r="AL11" s="72">
        <v>39739</v>
      </c>
      <c r="AM11" s="73">
        <v>7520794.7799999043</v>
      </c>
      <c r="AN11" s="39"/>
      <c r="AO11" s="72">
        <v>40103</v>
      </c>
      <c r="AP11" s="82">
        <v>7575192.0199999176</v>
      </c>
      <c r="AQ11" s="39"/>
      <c r="AR11" s="72">
        <v>40467</v>
      </c>
      <c r="AS11" s="73">
        <v>7337540.9500000691</v>
      </c>
      <c r="AT11" s="39"/>
      <c r="AU11" s="72">
        <v>40831</v>
      </c>
      <c r="AV11" s="73">
        <v>7233557.4900000356</v>
      </c>
      <c r="AW11" s="73"/>
      <c r="AX11" s="107">
        <v>41195</v>
      </c>
      <c r="AY11" s="108">
        <v>7171533.6300000306</v>
      </c>
      <c r="AZ11" s="73"/>
      <c r="BA11" s="107">
        <v>41559</v>
      </c>
      <c r="BB11" s="108">
        <v>7471368.2699999716</v>
      </c>
      <c r="BC11" s="39"/>
      <c r="BD11" s="107">
        <v>41923</v>
      </c>
      <c r="BE11" s="108">
        <v>7669897.6300000874</v>
      </c>
      <c r="BF11" s="39"/>
      <c r="BG11" s="107">
        <v>42287</v>
      </c>
      <c r="BH11" s="108">
        <v>7637294.9400000107</v>
      </c>
      <c r="BI11" s="39"/>
      <c r="BJ11" s="72">
        <v>42651</v>
      </c>
      <c r="BK11" s="39">
        <f t="shared" si="6"/>
        <v>22778560.840000071</v>
      </c>
      <c r="BL11" s="39"/>
      <c r="BM11" s="9"/>
      <c r="BN11" s="9"/>
      <c r="BO11" s="10"/>
    </row>
    <row r="12" spans="1:67" ht="15" x14ac:dyDescent="0.25">
      <c r="A12">
        <v>9</v>
      </c>
      <c r="B12" s="2">
        <v>35371</v>
      </c>
      <c r="C12" s="5">
        <v>4979139.8999999743</v>
      </c>
      <c r="D12" s="13">
        <f t="shared" si="0"/>
        <v>5.5914826194570957E-2</v>
      </c>
      <c r="E12" s="6">
        <v>35735</v>
      </c>
      <c r="F12" s="5">
        <v>5132124.7400000254</v>
      </c>
      <c r="G12" s="13">
        <f t="shared" si="1"/>
        <v>5.8822660516927729E-2</v>
      </c>
      <c r="H12" s="2">
        <v>36099</v>
      </c>
      <c r="I12" s="5">
        <v>5035944.3000000287</v>
      </c>
      <c r="J12" s="13">
        <f t="shared" si="2"/>
        <v>5.7489425977130512E-2</v>
      </c>
      <c r="K12" s="2">
        <v>36463</v>
      </c>
      <c r="L12" s="5">
        <v>5094069.3099999847</v>
      </c>
      <c r="M12" s="13">
        <f t="shared" si="3"/>
        <v>5.6989366952238982E-2</v>
      </c>
      <c r="N12" s="2">
        <v>36827</v>
      </c>
      <c r="O12" s="5">
        <v>4897541.3399999803</v>
      </c>
      <c r="P12" s="13">
        <f t="shared" si="4"/>
        <v>5.3181649451632493E-2</v>
      </c>
      <c r="Q12" s="8">
        <v>37191</v>
      </c>
      <c r="R12" s="5">
        <v>5218563.8100000294</v>
      </c>
      <c r="S12" s="13">
        <f t="shared" si="5"/>
        <v>5.3400946036215327E-2</v>
      </c>
      <c r="T12" s="8">
        <v>37555</v>
      </c>
      <c r="U12" s="3">
        <v>5764844.5599999996</v>
      </c>
      <c r="W12" s="28">
        <v>37919</v>
      </c>
      <c r="X12" s="27">
        <v>5743664.1699999599</v>
      </c>
      <c r="Y12" s="7"/>
      <c r="Z12" s="28">
        <v>38283</v>
      </c>
      <c r="AA12" s="27">
        <v>5987348.600000008</v>
      </c>
      <c r="AB12" s="7"/>
      <c r="AC12" s="28">
        <v>38647</v>
      </c>
      <c r="AD12" s="27">
        <v>6057588.6200000551</v>
      </c>
      <c r="AE12" s="7"/>
      <c r="AF12" s="64">
        <v>39025</v>
      </c>
      <c r="AG12" s="65">
        <v>6778950.2909999937</v>
      </c>
      <c r="AH12" s="7"/>
      <c r="AI12" s="72">
        <v>39389</v>
      </c>
      <c r="AJ12" s="73">
        <v>7083622.4899999648</v>
      </c>
      <c r="AK12" s="39"/>
      <c r="AL12" s="72">
        <v>39753</v>
      </c>
      <c r="AM12" s="73">
        <v>7573667.1399998795</v>
      </c>
      <c r="AN12" s="39"/>
      <c r="AO12" s="72">
        <v>40117</v>
      </c>
      <c r="AP12" s="82">
        <v>7380926.6399998777</v>
      </c>
      <c r="AQ12" s="39"/>
      <c r="AR12" s="72">
        <v>40481</v>
      </c>
      <c r="AS12" s="73">
        <v>7253589.3100000331</v>
      </c>
      <c r="AT12" s="39"/>
      <c r="AU12" s="72">
        <v>40845</v>
      </c>
      <c r="AV12" s="73">
        <v>7203844.6001000432</v>
      </c>
      <c r="AW12" s="73"/>
      <c r="AX12" s="107">
        <v>41209</v>
      </c>
      <c r="AY12" s="108">
        <v>7037335.3800000278</v>
      </c>
      <c r="AZ12" s="73"/>
      <c r="BA12" s="107">
        <v>41573</v>
      </c>
      <c r="BB12" s="108">
        <v>7473512.9399999725</v>
      </c>
      <c r="BC12" s="39"/>
      <c r="BD12" s="107">
        <v>41937</v>
      </c>
      <c r="BE12" s="108">
        <v>7695511.5100000389</v>
      </c>
      <c r="BF12" s="39"/>
      <c r="BG12" s="107">
        <v>42301</v>
      </c>
      <c r="BH12" s="108">
        <v>7677392.5000000056</v>
      </c>
      <c r="BI12" s="39"/>
      <c r="BJ12" s="72">
        <v>42665</v>
      </c>
      <c r="BK12" s="39">
        <f t="shared" si="6"/>
        <v>22846416.950000018</v>
      </c>
      <c r="BL12" s="39">
        <f>SUM(BK11:BK12)</f>
        <v>45624977.790000089</v>
      </c>
      <c r="BM12" s="9">
        <f>ROUND((BL12/$BK$30),6)</f>
        <v>8.3697999999999995E-2</v>
      </c>
      <c r="BN12" s="9">
        <f>ROUND((BL12/BK$30),5)</f>
        <v>8.3699999999999997E-2</v>
      </c>
      <c r="BO12" s="10"/>
    </row>
    <row r="13" spans="1:67" ht="15" x14ac:dyDescent="0.25">
      <c r="A13">
        <v>10</v>
      </c>
      <c r="B13" s="2">
        <v>35385</v>
      </c>
      <c r="C13" s="5">
        <v>6043312.3500000043</v>
      </c>
      <c r="D13" s="13">
        <f t="shared" si="0"/>
        <v>6.7865287273763106E-2</v>
      </c>
      <c r="E13" s="6">
        <v>35749</v>
      </c>
      <c r="F13" s="5">
        <v>5991739.0899999989</v>
      </c>
      <c r="G13" s="13">
        <f t="shared" si="1"/>
        <v>6.8675266532409671E-2</v>
      </c>
      <c r="H13" s="2">
        <v>36113</v>
      </c>
      <c r="I13" s="5">
        <v>5108351.7500000102</v>
      </c>
      <c r="J13" s="13">
        <f t="shared" si="2"/>
        <v>5.8316016282540899E-2</v>
      </c>
      <c r="K13" s="2">
        <v>36477</v>
      </c>
      <c r="L13" s="5">
        <v>5066581.8600000087</v>
      </c>
      <c r="M13" s="13">
        <f t="shared" si="3"/>
        <v>5.6681853983863224E-2</v>
      </c>
      <c r="N13" s="2">
        <v>36841</v>
      </c>
      <c r="O13" s="5">
        <v>4901708.1700000465</v>
      </c>
      <c r="P13" s="13">
        <f t="shared" si="4"/>
        <v>5.3226896418835851E-2</v>
      </c>
      <c r="Q13" s="8">
        <v>37205</v>
      </c>
      <c r="R13" s="5">
        <v>5182360.0100000408</v>
      </c>
      <c r="S13" s="13">
        <f t="shared" si="5"/>
        <v>5.3030476834248184E-2</v>
      </c>
      <c r="T13" s="8">
        <v>37569</v>
      </c>
      <c r="U13" s="3">
        <v>5656170.3899999997</v>
      </c>
      <c r="W13" s="28">
        <v>37933</v>
      </c>
      <c r="X13" s="27">
        <v>5771161.4400000107</v>
      </c>
      <c r="Y13" s="7"/>
      <c r="Z13" s="28">
        <v>38297</v>
      </c>
      <c r="AA13" s="27">
        <v>6033600.5799999917</v>
      </c>
      <c r="AB13" s="7"/>
      <c r="AC13" s="28">
        <v>38661</v>
      </c>
      <c r="AD13" s="27">
        <v>6044320.9100000244</v>
      </c>
      <c r="AE13" s="7"/>
      <c r="AF13" s="64">
        <v>39039</v>
      </c>
      <c r="AG13" s="65">
        <v>6814087.059999981</v>
      </c>
      <c r="AH13" s="7"/>
      <c r="AI13" s="72">
        <v>39403</v>
      </c>
      <c r="AJ13" s="73">
        <v>10415264.39999998</v>
      </c>
      <c r="AK13" s="39"/>
      <c r="AL13" s="72">
        <v>39767</v>
      </c>
      <c r="AM13" s="73">
        <v>9803533.0199998971</v>
      </c>
      <c r="AN13" s="39"/>
      <c r="AO13" s="72">
        <v>40131</v>
      </c>
      <c r="AP13" s="82">
        <v>7379455.340019891</v>
      </c>
      <c r="AQ13" s="39"/>
      <c r="AR13" s="72">
        <v>40495</v>
      </c>
      <c r="AS13" s="73">
        <v>7343557.5500000343</v>
      </c>
      <c r="AT13" s="39"/>
      <c r="AU13" s="72">
        <v>40859</v>
      </c>
      <c r="AV13" s="73">
        <v>7313010.729999925</v>
      </c>
      <c r="AW13" s="73"/>
      <c r="AX13" s="107">
        <v>41223</v>
      </c>
      <c r="AY13" s="108">
        <v>7119742.2300000023</v>
      </c>
      <c r="AZ13" s="73"/>
      <c r="BA13" s="107">
        <v>41587</v>
      </c>
      <c r="BB13" s="108">
        <v>7526300.4799999632</v>
      </c>
      <c r="BC13" s="39"/>
      <c r="BD13" s="107">
        <v>41951</v>
      </c>
      <c r="BE13" s="108">
        <v>7784049.5400000373</v>
      </c>
      <c r="BF13" s="39"/>
      <c r="BG13" s="107">
        <v>42315</v>
      </c>
      <c r="BH13" s="108">
        <v>7697308.8200000525</v>
      </c>
      <c r="BI13" s="39"/>
      <c r="BJ13" s="72">
        <v>42679</v>
      </c>
      <c r="BK13" s="39">
        <f t="shared" si="6"/>
        <v>23007658.840000052</v>
      </c>
      <c r="BL13" s="39"/>
      <c r="BM13" s="9"/>
      <c r="BN13" s="9"/>
      <c r="BO13" s="10"/>
    </row>
    <row r="14" spans="1:67" ht="15" x14ac:dyDescent="0.25">
      <c r="A14">
        <v>11</v>
      </c>
      <c r="B14" s="2">
        <v>35399</v>
      </c>
      <c r="C14" s="5">
        <v>5005870.9600000158</v>
      </c>
      <c r="D14" s="13">
        <f t="shared" si="0"/>
        <v>5.6215011086724512E-2</v>
      </c>
      <c r="E14" s="6">
        <v>35763</v>
      </c>
      <c r="F14" s="5">
        <v>5167739.3800000306</v>
      </c>
      <c r="G14" s="13">
        <f t="shared" si="1"/>
        <v>5.9230863353819975E-2</v>
      </c>
      <c r="H14" s="2">
        <v>36127</v>
      </c>
      <c r="I14" s="5">
        <v>5068261.6000000397</v>
      </c>
      <c r="J14" s="13">
        <f t="shared" si="2"/>
        <v>5.7858354407520685E-2</v>
      </c>
      <c r="K14" s="2">
        <v>36491</v>
      </c>
      <c r="L14" s="5">
        <v>4997498.1000000183</v>
      </c>
      <c r="M14" s="13">
        <f t="shared" si="3"/>
        <v>5.5908986653347877E-2</v>
      </c>
      <c r="N14" s="2">
        <v>36855</v>
      </c>
      <c r="O14" s="5">
        <v>4933791.1800000323</v>
      </c>
      <c r="P14" s="13">
        <f t="shared" si="4"/>
        <v>5.3575280898459754E-2</v>
      </c>
      <c r="Q14" s="8">
        <v>37219</v>
      </c>
      <c r="R14" s="5">
        <v>5260654.0800000234</v>
      </c>
      <c r="S14" s="13">
        <f t="shared" si="5"/>
        <v>5.3831650789238059E-2</v>
      </c>
      <c r="T14" s="8">
        <v>37583</v>
      </c>
      <c r="U14" s="3">
        <v>5741482.1100000003</v>
      </c>
      <c r="W14" s="28">
        <v>37947</v>
      </c>
      <c r="X14" s="27">
        <v>5818618.1699999925</v>
      </c>
      <c r="Y14" s="7"/>
      <c r="Z14" s="28">
        <v>38311</v>
      </c>
      <c r="AA14" s="27">
        <v>6112045.4499999955</v>
      </c>
      <c r="AB14" s="7"/>
      <c r="AC14" s="28">
        <v>38675</v>
      </c>
      <c r="AD14" s="27">
        <v>6097774.2900000149</v>
      </c>
      <c r="AE14" s="7"/>
      <c r="AF14" s="64">
        <v>39053</v>
      </c>
      <c r="AG14" s="65">
        <v>6985331.4501000047</v>
      </c>
      <c r="AH14" s="7"/>
      <c r="AI14" s="72">
        <v>39417</v>
      </c>
      <c r="AJ14" s="73">
        <v>7141057.8199999332</v>
      </c>
      <c r="AK14" s="39"/>
      <c r="AL14" s="72">
        <v>39781</v>
      </c>
      <c r="AM14" s="73">
        <v>7395933.7499999385</v>
      </c>
      <c r="AN14" s="39"/>
      <c r="AO14" s="72">
        <v>40145</v>
      </c>
      <c r="AP14" s="82">
        <v>9499547.5499997977</v>
      </c>
      <c r="AQ14" s="39"/>
      <c r="AR14" s="72">
        <v>40509</v>
      </c>
      <c r="AS14" s="73">
        <v>9434108.0299999975</v>
      </c>
      <c r="AT14" s="39"/>
      <c r="AU14" s="72">
        <v>40873</v>
      </c>
      <c r="AV14" s="73">
        <v>9256750.5499999914</v>
      </c>
      <c r="AW14" s="73"/>
      <c r="AX14" s="107">
        <v>41237</v>
      </c>
      <c r="AY14" s="108">
        <v>9169767.4900000226</v>
      </c>
      <c r="AZ14" s="73"/>
      <c r="BA14" s="107">
        <v>41601</v>
      </c>
      <c r="BB14" s="108">
        <v>9656337.259999942</v>
      </c>
      <c r="BC14" s="39"/>
      <c r="BD14" s="107">
        <v>41965</v>
      </c>
      <c r="BE14" s="108">
        <v>10041750.150000108</v>
      </c>
      <c r="BF14" s="39"/>
      <c r="BG14" s="107">
        <v>42329</v>
      </c>
      <c r="BH14" s="108">
        <v>8407459.9599999934</v>
      </c>
      <c r="BI14" s="39"/>
      <c r="BJ14" s="72">
        <v>42693</v>
      </c>
      <c r="BK14" s="39">
        <f t="shared" si="6"/>
        <v>28105547.370000042</v>
      </c>
      <c r="BL14" s="39">
        <f>SUM(BK13:BK14)</f>
        <v>51113206.210000098</v>
      </c>
      <c r="BM14" s="9">
        <f>ROUND((BL14/$BK$30),6)</f>
        <v>9.3766000000000002E-2</v>
      </c>
      <c r="BN14" s="9">
        <f>ROUND((BL14/BK$30),5)</f>
        <v>9.3770000000000006E-2</v>
      </c>
      <c r="BO14" s="10"/>
    </row>
    <row r="15" spans="1:67" ht="15" x14ac:dyDescent="0.25">
      <c r="A15">
        <v>12</v>
      </c>
      <c r="B15" s="2">
        <v>35413</v>
      </c>
      <c r="C15" s="5">
        <v>4993670.499999986</v>
      </c>
      <c r="D15" s="13">
        <f t="shared" si="0"/>
        <v>5.6078002162674098E-2</v>
      </c>
      <c r="E15" s="6">
        <v>35777</v>
      </c>
      <c r="F15" s="5">
        <v>5179794.7300000004</v>
      </c>
      <c r="G15" s="13">
        <f t="shared" si="1"/>
        <v>5.9369037657132209E-2</v>
      </c>
      <c r="H15" s="2">
        <v>36141</v>
      </c>
      <c r="I15" s="5">
        <v>5153333.6200000318</v>
      </c>
      <c r="J15" s="13">
        <f t="shared" si="2"/>
        <v>5.8829521145110392E-2</v>
      </c>
      <c r="K15" s="2">
        <v>36505</v>
      </c>
      <c r="L15" s="5">
        <v>5032423.4999999814</v>
      </c>
      <c r="M15" s="13">
        <f t="shared" si="3"/>
        <v>5.6299710908442789E-2</v>
      </c>
      <c r="N15" s="2">
        <v>36869</v>
      </c>
      <c r="O15" s="5">
        <v>4979597.6099999882</v>
      </c>
      <c r="P15" s="13">
        <f t="shared" si="4"/>
        <v>5.4072685888794846E-2</v>
      </c>
      <c r="Q15" s="8">
        <v>37233</v>
      </c>
      <c r="R15" s="5">
        <v>5225933.5200000145</v>
      </c>
      <c r="S15" s="13">
        <f t="shared" si="5"/>
        <v>5.3476359406701979E-2</v>
      </c>
      <c r="T15" s="8">
        <v>37597</v>
      </c>
      <c r="U15" s="3">
        <v>5761276.4800000004</v>
      </c>
      <c r="W15" s="28">
        <v>37961</v>
      </c>
      <c r="X15" s="27">
        <v>5821283.039999973</v>
      </c>
      <c r="Y15" s="7"/>
      <c r="Z15" s="28">
        <v>38325</v>
      </c>
      <c r="AA15" s="27">
        <v>6085717.2700000079</v>
      </c>
      <c r="AB15" s="7"/>
      <c r="AC15" s="28">
        <v>38689</v>
      </c>
      <c r="AD15" s="27">
        <v>6181699.2750000171</v>
      </c>
      <c r="AE15" s="7"/>
      <c r="AF15" s="64">
        <v>39067</v>
      </c>
      <c r="AG15" s="65">
        <v>6830582.059999994</v>
      </c>
      <c r="AH15" s="7"/>
      <c r="AI15" s="72">
        <v>39431</v>
      </c>
      <c r="AJ15" s="73">
        <v>7026905.6499999855</v>
      </c>
      <c r="AK15" s="39"/>
      <c r="AL15" s="72">
        <v>39795</v>
      </c>
      <c r="AM15" s="73">
        <v>7316686.2899999199</v>
      </c>
      <c r="AN15" s="39"/>
      <c r="AO15" s="72">
        <v>40159</v>
      </c>
      <c r="AP15" s="82">
        <v>7455708.3699999088</v>
      </c>
      <c r="AQ15" s="39"/>
      <c r="AR15" s="72">
        <v>40523</v>
      </c>
      <c r="AS15" s="73">
        <v>7341655.2500000279</v>
      </c>
      <c r="AT15" s="39"/>
      <c r="AU15" s="72">
        <v>40887</v>
      </c>
      <c r="AV15" s="73">
        <v>7202502.7999999514</v>
      </c>
      <c r="AW15" s="73"/>
      <c r="AX15" s="107">
        <v>41251</v>
      </c>
      <c r="AY15" s="108">
        <v>7163617.9800000275</v>
      </c>
      <c r="AZ15" s="73"/>
      <c r="BA15" s="107">
        <v>41615</v>
      </c>
      <c r="BB15" s="108">
        <v>7614591.620000002</v>
      </c>
      <c r="BC15" s="39"/>
      <c r="BD15" s="107">
        <v>41979</v>
      </c>
      <c r="BE15" s="108">
        <v>7852708.0600000229</v>
      </c>
      <c r="BF15" s="39"/>
      <c r="BG15" s="107">
        <v>42343</v>
      </c>
      <c r="BH15" s="108">
        <v>7746684.4500000225</v>
      </c>
      <c r="BI15" s="39"/>
      <c r="BJ15" s="72">
        <v>42707</v>
      </c>
      <c r="BK15" s="39">
        <f t="shared" si="6"/>
        <v>23213984.130000047</v>
      </c>
      <c r="BL15" s="37"/>
    </row>
    <row r="16" spans="1:67" ht="15" x14ac:dyDescent="0.25">
      <c r="A16">
        <v>13</v>
      </c>
      <c r="B16" s="2">
        <v>35427</v>
      </c>
      <c r="C16" s="5">
        <v>4956324.3499999577</v>
      </c>
      <c r="D16" s="13">
        <f t="shared" si="0"/>
        <v>5.5658611760269865E-2</v>
      </c>
      <c r="E16" s="6">
        <v>35791</v>
      </c>
      <c r="F16" s="5">
        <v>5117233.1000000071</v>
      </c>
      <c r="G16" s="13">
        <f t="shared" si="1"/>
        <v>5.8651977626577451E-2</v>
      </c>
      <c r="H16" s="2">
        <v>36155</v>
      </c>
      <c r="I16" s="5">
        <v>5011583.9400000405</v>
      </c>
      <c r="J16" s="13">
        <f t="shared" si="2"/>
        <v>5.7211332529394095E-2</v>
      </c>
      <c r="K16" s="2">
        <v>36519</v>
      </c>
      <c r="L16" s="5">
        <v>5095981.2599999933</v>
      </c>
      <c r="M16" s="13">
        <f t="shared" si="3"/>
        <v>5.7010756692643758E-2</v>
      </c>
      <c r="N16" s="2">
        <v>36883</v>
      </c>
      <c r="O16" s="5">
        <v>4916484.2299999874</v>
      </c>
      <c r="P16" s="13">
        <f t="shared" si="4"/>
        <v>5.3387347385686318E-2</v>
      </c>
      <c r="Q16" s="8">
        <v>37247</v>
      </c>
      <c r="R16" s="5">
        <v>5189643.1600000262</v>
      </c>
      <c r="S16" s="13">
        <f t="shared" si="5"/>
        <v>5.3105004446496143E-2</v>
      </c>
      <c r="T16" s="8">
        <v>37611</v>
      </c>
      <c r="U16" s="3">
        <v>5801384.1699999999</v>
      </c>
      <c r="W16" s="28">
        <v>37975</v>
      </c>
      <c r="X16" s="27">
        <v>5772794.0299999919</v>
      </c>
      <c r="Y16" s="7"/>
      <c r="Z16" s="28">
        <v>38339</v>
      </c>
      <c r="AA16" s="27">
        <v>6056260.4999999981</v>
      </c>
      <c r="AB16" s="7"/>
      <c r="AC16" s="28">
        <v>38703</v>
      </c>
      <c r="AD16" s="27">
        <v>6284690.2200000193</v>
      </c>
      <c r="AE16" s="7"/>
      <c r="AF16" s="64">
        <v>39081</v>
      </c>
      <c r="AG16" s="65">
        <v>6776823.2600000342</v>
      </c>
      <c r="AH16" s="7"/>
      <c r="AI16" s="72">
        <v>39445</v>
      </c>
      <c r="AJ16" s="73">
        <v>7139544.0499999318</v>
      </c>
      <c r="AK16" s="39"/>
      <c r="AL16" s="72">
        <v>39809</v>
      </c>
      <c r="AM16" s="73">
        <v>7412332.1899999222</v>
      </c>
      <c r="AN16" s="39"/>
      <c r="AO16" s="72">
        <v>40173</v>
      </c>
      <c r="AP16" s="82">
        <v>7487547.039999905</v>
      </c>
      <c r="AQ16" s="39"/>
      <c r="AR16" s="72">
        <v>40537</v>
      </c>
      <c r="AS16" s="73">
        <v>7415047.9400000386</v>
      </c>
      <c r="AT16" s="39"/>
      <c r="AU16" s="72">
        <v>40901</v>
      </c>
      <c r="AV16" s="73">
        <v>7402024.619999947</v>
      </c>
      <c r="AW16" s="73"/>
      <c r="AX16" s="107">
        <v>41265</v>
      </c>
      <c r="AY16" s="108">
        <v>7298131.8100000387</v>
      </c>
      <c r="AZ16" s="73"/>
      <c r="BA16" s="107">
        <v>41629</v>
      </c>
      <c r="BB16" s="108">
        <v>7544221.3199999556</v>
      </c>
      <c r="BC16" s="39"/>
      <c r="BD16" s="107">
        <v>41993</v>
      </c>
      <c r="BE16" s="108">
        <v>7636912.0500000594</v>
      </c>
      <c r="BF16" s="39"/>
      <c r="BG16" s="107">
        <v>42357</v>
      </c>
      <c r="BH16" s="108">
        <v>7682479.3499999978</v>
      </c>
      <c r="BI16" s="39"/>
      <c r="BJ16" s="72">
        <v>42721</v>
      </c>
      <c r="BK16" s="39">
        <f t="shared" si="6"/>
        <v>22863612.720000014</v>
      </c>
      <c r="BL16" s="39"/>
      <c r="BM16" s="9"/>
      <c r="BN16" s="9"/>
      <c r="BO16" s="10"/>
    </row>
    <row r="17" spans="1:67" ht="15" x14ac:dyDescent="0.25">
      <c r="A17">
        <v>14</v>
      </c>
      <c r="B17" s="2">
        <v>35441</v>
      </c>
      <c r="C17" s="5">
        <v>5123352.2600000203</v>
      </c>
      <c r="D17" s="13">
        <f t="shared" si="0"/>
        <v>5.7534304499350361E-2</v>
      </c>
      <c r="E17" s="6">
        <v>35805</v>
      </c>
      <c r="F17" s="5">
        <v>5926559.6800000202</v>
      </c>
      <c r="G17" s="13">
        <f t="shared" si="1"/>
        <v>6.7928202401789498E-2</v>
      </c>
      <c r="H17" s="2">
        <v>36169</v>
      </c>
      <c r="I17" s="5">
        <v>4974343.9100000383</v>
      </c>
      <c r="J17" s="13">
        <f t="shared" si="2"/>
        <v>5.6786207106924426E-2</v>
      </c>
      <c r="K17" s="2">
        <v>36533</v>
      </c>
      <c r="L17" s="5">
        <v>5004523.5899999859</v>
      </c>
      <c r="M17" s="13">
        <f t="shared" si="3"/>
        <v>5.5987583587009823E-2</v>
      </c>
      <c r="N17" s="2">
        <v>36897</v>
      </c>
      <c r="O17" s="5">
        <v>5049907.0199999595</v>
      </c>
      <c r="P17" s="13">
        <f t="shared" si="4"/>
        <v>5.4836164976807933E-2</v>
      </c>
      <c r="Q17" s="8">
        <v>37261</v>
      </c>
      <c r="R17" s="5">
        <v>5186774.3600000199</v>
      </c>
      <c r="S17" s="13">
        <f t="shared" si="5"/>
        <v>5.3075648355516571E-2</v>
      </c>
      <c r="T17" s="8">
        <v>37625</v>
      </c>
      <c r="U17" s="3">
        <v>5659590.5199999996</v>
      </c>
      <c r="W17" s="28">
        <v>37989</v>
      </c>
      <c r="X17" s="27">
        <v>5797296.0099999951</v>
      </c>
      <c r="Y17" s="7"/>
      <c r="Z17" s="28">
        <v>38353</v>
      </c>
      <c r="AA17" s="27">
        <v>6024386.9100000234</v>
      </c>
      <c r="AB17" s="7"/>
      <c r="AC17" s="28">
        <v>38717</v>
      </c>
      <c r="AD17" s="27">
        <v>6076645.9000000181</v>
      </c>
      <c r="AE17" s="7"/>
      <c r="AF17" s="64">
        <v>39095</v>
      </c>
      <c r="AG17" s="65">
        <v>6722963.5500000585</v>
      </c>
      <c r="AH17" s="7"/>
      <c r="AI17" s="72">
        <v>39459</v>
      </c>
      <c r="AJ17" s="73">
        <v>7671334.4999999292</v>
      </c>
      <c r="AK17" s="39"/>
      <c r="AL17" s="72">
        <v>39823</v>
      </c>
      <c r="AM17" s="73">
        <v>7400571.8099999335</v>
      </c>
      <c r="AN17" s="39"/>
      <c r="AO17" s="72">
        <v>40187</v>
      </c>
      <c r="AP17" s="82">
        <v>7617254.6700099101</v>
      </c>
      <c r="AQ17" s="39"/>
      <c r="AR17" s="72">
        <v>40551</v>
      </c>
      <c r="AS17" s="73">
        <v>7416637.1600000262</v>
      </c>
      <c r="AT17" s="39"/>
      <c r="AU17" s="72">
        <v>40915</v>
      </c>
      <c r="AV17" s="73">
        <v>7251033.2799999872</v>
      </c>
      <c r="AW17" s="73"/>
      <c r="AX17" s="107">
        <v>41279</v>
      </c>
      <c r="AY17" s="108">
        <v>7256921.3600000031</v>
      </c>
      <c r="AZ17" s="73"/>
      <c r="BA17" s="107">
        <v>41643</v>
      </c>
      <c r="BB17" s="108">
        <v>7623174.3300000448</v>
      </c>
      <c r="BC17" s="39"/>
      <c r="BD17" s="107">
        <v>42007</v>
      </c>
      <c r="BE17" s="108">
        <v>7740313.9700000174</v>
      </c>
      <c r="BF17" s="39"/>
      <c r="BG17" s="107">
        <v>42371</v>
      </c>
      <c r="BH17" s="108">
        <v>7766838.7600000128</v>
      </c>
      <c r="BI17" s="39"/>
      <c r="BJ17" s="72">
        <v>42735</v>
      </c>
      <c r="BK17" s="39">
        <f t="shared" si="6"/>
        <v>23130327.060000077</v>
      </c>
      <c r="BL17" s="39">
        <f>SUM(BK15:BK17)</f>
        <v>69207923.910000145</v>
      </c>
      <c r="BM17" s="9">
        <f>ROUND((BL17/$BK$30),6)</f>
        <v>0.12696099999999999</v>
      </c>
      <c r="BN17" s="9">
        <f>ROUND((BL17/BK$30),5)</f>
        <v>0.12695999999999999</v>
      </c>
      <c r="BO17" s="10"/>
    </row>
    <row r="18" spans="1:67" ht="15" x14ac:dyDescent="0.25">
      <c r="A18">
        <v>15</v>
      </c>
      <c r="B18" s="2">
        <v>35455</v>
      </c>
      <c r="C18" s="5">
        <v>7399908.2599999951</v>
      </c>
      <c r="D18" s="13">
        <f t="shared" si="0"/>
        <v>8.3099610077971869E-2</v>
      </c>
      <c r="E18" s="6">
        <v>35819</v>
      </c>
      <c r="F18" s="5">
        <v>5238484.9299999718</v>
      </c>
      <c r="G18" s="13">
        <f t="shared" si="1"/>
        <v>6.0041724679597078E-2</v>
      </c>
      <c r="H18" s="2">
        <v>36183</v>
      </c>
      <c r="I18" s="5">
        <v>5186778.9500000579</v>
      </c>
      <c r="J18" s="13">
        <f t="shared" si="2"/>
        <v>5.9211326961214672E-2</v>
      </c>
      <c r="K18" s="2">
        <v>36547</v>
      </c>
      <c r="L18" s="5">
        <v>5007827.9199999822</v>
      </c>
      <c r="M18" s="13">
        <f t="shared" si="3"/>
        <v>5.6024550432853759E-2</v>
      </c>
      <c r="N18" s="2">
        <v>36911</v>
      </c>
      <c r="O18" s="5">
        <v>5254870.1099999556</v>
      </c>
      <c r="P18" s="13">
        <f t="shared" si="4"/>
        <v>5.7061827701464632E-2</v>
      </c>
      <c r="Q18" s="8">
        <v>37275</v>
      </c>
      <c r="R18" s="5">
        <v>5191956.4900000235</v>
      </c>
      <c r="S18" s="13">
        <f t="shared" si="5"/>
        <v>5.3128676478685744E-2</v>
      </c>
      <c r="T18" s="8">
        <v>37639</v>
      </c>
      <c r="U18" s="3">
        <v>5538132.0199999996</v>
      </c>
      <c r="W18" s="28">
        <v>38003</v>
      </c>
      <c r="X18" s="27">
        <v>5784771.6999999629</v>
      </c>
      <c r="Y18" s="7"/>
      <c r="Z18" s="28">
        <v>38367</v>
      </c>
      <c r="AA18" s="27">
        <v>6164161.5599999977</v>
      </c>
      <c r="AB18" s="7"/>
      <c r="AC18" s="28">
        <v>38731</v>
      </c>
      <c r="AD18" s="27">
        <v>6137341.7800010312</v>
      </c>
      <c r="AE18" s="7"/>
      <c r="AF18" s="64">
        <v>39109</v>
      </c>
      <c r="AG18" s="65">
        <v>7011210.0799999628</v>
      </c>
      <c r="AH18" s="7"/>
      <c r="AI18" s="72">
        <v>39473</v>
      </c>
      <c r="AJ18" s="73">
        <v>7089022.780000017</v>
      </c>
      <c r="AK18" s="39"/>
      <c r="AL18" s="72">
        <v>39837</v>
      </c>
      <c r="AM18" s="73">
        <v>7738566.6499998523</v>
      </c>
      <c r="AN18" s="39"/>
      <c r="AO18" s="72">
        <v>40201</v>
      </c>
      <c r="AP18" s="82">
        <v>7881624.549999861</v>
      </c>
      <c r="AQ18" s="39"/>
      <c r="AR18" s="72">
        <v>40565</v>
      </c>
      <c r="AS18" s="73">
        <v>8180632.4100000449</v>
      </c>
      <c r="AT18" s="39"/>
      <c r="AU18" s="72">
        <v>40929</v>
      </c>
      <c r="AV18" s="73">
        <v>7947578.8800000111</v>
      </c>
      <c r="AW18" s="73"/>
      <c r="AX18" s="107">
        <v>41293</v>
      </c>
      <c r="AY18" s="108">
        <v>8036847.3100000154</v>
      </c>
      <c r="AZ18" s="73"/>
      <c r="BA18" s="107">
        <v>41657</v>
      </c>
      <c r="BB18" s="108">
        <v>8000484.0299999621</v>
      </c>
      <c r="BC18" s="39"/>
      <c r="BD18" s="107">
        <v>42021</v>
      </c>
      <c r="BE18" s="108">
        <v>8462926.8100000545</v>
      </c>
      <c r="BF18" s="39"/>
      <c r="BG18" s="107">
        <v>42385</v>
      </c>
      <c r="BH18" s="108">
        <v>7572463.7700000238</v>
      </c>
      <c r="BI18" s="39"/>
      <c r="BJ18" s="72">
        <v>42749</v>
      </c>
      <c r="BK18" s="39">
        <f t="shared" si="6"/>
        <v>24035874.61000004</v>
      </c>
      <c r="BL18" s="39"/>
      <c r="BM18" s="9"/>
      <c r="BN18" s="9"/>
      <c r="BO18" s="10"/>
    </row>
    <row r="19" spans="1:67" ht="15" x14ac:dyDescent="0.25">
      <c r="A19">
        <v>16</v>
      </c>
      <c r="B19" s="2">
        <v>35469</v>
      </c>
      <c r="C19" s="5">
        <v>5255819.8499999801</v>
      </c>
      <c r="D19" s="13">
        <f t="shared" si="0"/>
        <v>5.9021891195048845E-2</v>
      </c>
      <c r="E19" s="6">
        <v>35833</v>
      </c>
      <c r="F19" s="5">
        <v>5019108.8100000052</v>
      </c>
      <c r="G19" s="13">
        <f t="shared" si="1"/>
        <v>5.7527310536132831E-2</v>
      </c>
      <c r="H19" s="2">
        <v>36197</v>
      </c>
      <c r="I19" s="5">
        <v>5091407.640000009</v>
      </c>
      <c r="J19" s="13">
        <f t="shared" si="2"/>
        <v>5.8122585398566781E-2</v>
      </c>
      <c r="K19" s="2">
        <v>36561</v>
      </c>
      <c r="L19" s="5">
        <v>5086686.5599999931</v>
      </c>
      <c r="M19" s="13">
        <f t="shared" si="3"/>
        <v>5.6906773209739206E-2</v>
      </c>
      <c r="N19" s="2">
        <v>36925</v>
      </c>
      <c r="O19" s="5">
        <v>4952996.539999946</v>
      </c>
      <c r="P19" s="13">
        <f t="shared" si="4"/>
        <v>5.3783828953943409E-2</v>
      </c>
      <c r="Q19" s="8">
        <v>37289</v>
      </c>
      <c r="R19" s="5">
        <v>5428895.1000000089</v>
      </c>
      <c r="S19" s="13">
        <f t="shared" si="5"/>
        <v>5.5553241241553905E-2</v>
      </c>
      <c r="T19" s="8">
        <v>37653</v>
      </c>
      <c r="U19" s="3">
        <v>5820578.6299999999</v>
      </c>
      <c r="W19" s="28">
        <v>38017</v>
      </c>
      <c r="X19" s="27">
        <v>5806105.620000001</v>
      </c>
      <c r="Y19" s="7"/>
      <c r="Z19" s="28">
        <v>38381</v>
      </c>
      <c r="AA19" s="27">
        <v>6359822.4700000035</v>
      </c>
      <c r="AB19" s="7"/>
      <c r="AC19" s="28">
        <v>38745</v>
      </c>
      <c r="AD19" s="27">
        <v>6223931.4400000134</v>
      </c>
      <c r="AE19" s="7"/>
      <c r="AF19" s="64">
        <v>39123</v>
      </c>
      <c r="AG19" s="65">
        <v>6842788.060000034</v>
      </c>
      <c r="AH19" s="7"/>
      <c r="AI19" s="72">
        <v>39487</v>
      </c>
      <c r="AJ19" s="73">
        <v>7135411.2999999868</v>
      </c>
      <c r="AK19" s="39"/>
      <c r="AL19" s="72">
        <v>39851</v>
      </c>
      <c r="AM19" s="73">
        <v>7346329.5799999069</v>
      </c>
      <c r="AN19" s="39"/>
      <c r="AO19" s="72">
        <v>40215</v>
      </c>
      <c r="AP19" s="82">
        <v>7722457.0300009288</v>
      </c>
      <c r="AQ19" s="39"/>
      <c r="AR19" s="72">
        <v>40579</v>
      </c>
      <c r="AS19" s="73">
        <v>7482694.8900000602</v>
      </c>
      <c r="AT19" s="39"/>
      <c r="AU19" s="72">
        <v>40943</v>
      </c>
      <c r="AV19" s="73">
        <v>7108099.0199999884</v>
      </c>
      <c r="AW19" s="73"/>
      <c r="AX19" s="107">
        <v>41307</v>
      </c>
      <c r="AY19" s="108">
        <v>7103654.3300009836</v>
      </c>
      <c r="AZ19" s="73"/>
      <c r="BA19" s="107">
        <v>41671</v>
      </c>
      <c r="BB19" s="108">
        <v>7519897.4200000074</v>
      </c>
      <c r="BC19" s="39"/>
      <c r="BD19" s="107">
        <v>42035</v>
      </c>
      <c r="BE19" s="108">
        <v>7923542.7500000894</v>
      </c>
      <c r="BF19" s="39"/>
      <c r="BG19" s="107">
        <v>42399</v>
      </c>
      <c r="BH19" s="108">
        <v>7785247.4700000202</v>
      </c>
      <c r="BI19" s="39"/>
      <c r="BJ19" s="72">
        <v>42763</v>
      </c>
      <c r="BK19" s="39">
        <f t="shared" si="6"/>
        <v>23228687.640000116</v>
      </c>
      <c r="BL19" s="39">
        <f>SUM(BK18:BK19)</f>
        <v>47264562.250000156</v>
      </c>
      <c r="BM19" s="9">
        <f>ROUND((BL19/$BK$30),6)</f>
        <v>8.6706000000000005E-2</v>
      </c>
      <c r="BN19" s="9">
        <f>ROUND((BL19/BK$30),5)</f>
        <v>8.6709999999999995E-2</v>
      </c>
      <c r="BO19" s="10"/>
    </row>
    <row r="20" spans="1:67" ht="15" x14ac:dyDescent="0.25">
      <c r="A20">
        <v>17</v>
      </c>
      <c r="B20" s="2">
        <v>35483</v>
      </c>
      <c r="C20" s="5">
        <v>5223253.980000007</v>
      </c>
      <c r="D20" s="13">
        <f t="shared" si="0"/>
        <v>5.8656182458701932E-2</v>
      </c>
      <c r="E20" s="6">
        <v>35847</v>
      </c>
      <c r="F20" s="5">
        <v>5138545.8399999542</v>
      </c>
      <c r="G20" s="13">
        <f t="shared" si="1"/>
        <v>5.8896256971530087E-2</v>
      </c>
      <c r="H20" s="2">
        <v>36211</v>
      </c>
      <c r="I20" s="5">
        <v>5083420.3300000457</v>
      </c>
      <c r="J20" s="13">
        <f t="shared" si="2"/>
        <v>5.8031403717506633E-2</v>
      </c>
      <c r="K20" s="2">
        <v>36575</v>
      </c>
      <c r="L20" s="5">
        <v>4996712.9399999762</v>
      </c>
      <c r="M20" s="13">
        <f t="shared" si="3"/>
        <v>5.5900202758069735E-2</v>
      </c>
      <c r="N20" s="2">
        <v>36939</v>
      </c>
      <c r="O20" s="5">
        <v>5032547.1399999782</v>
      </c>
      <c r="P20" s="13">
        <f t="shared" si="4"/>
        <v>5.464765670529196E-2</v>
      </c>
      <c r="Q20" s="8">
        <v>37303</v>
      </c>
      <c r="R20" s="5">
        <v>5364486.5100000277</v>
      </c>
      <c r="S20" s="13">
        <f t="shared" si="5"/>
        <v>5.4894155760551094E-2</v>
      </c>
      <c r="T20" s="8">
        <v>37667</v>
      </c>
      <c r="U20" s="3">
        <v>5769578.7400000002</v>
      </c>
      <c r="W20" s="28">
        <v>38031</v>
      </c>
      <c r="X20" s="27">
        <v>5791633.9899999546</v>
      </c>
      <c r="Y20" s="7"/>
      <c r="Z20" s="28">
        <v>38395</v>
      </c>
      <c r="AA20" s="27">
        <v>6265440.3799999794</v>
      </c>
      <c r="AB20" s="7"/>
      <c r="AC20" s="28">
        <v>38759</v>
      </c>
      <c r="AD20" s="27">
        <v>6194572.9400000656</v>
      </c>
      <c r="AE20" s="7"/>
      <c r="AF20" s="64">
        <v>39137</v>
      </c>
      <c r="AG20" s="65">
        <v>6705617.4199999468</v>
      </c>
      <c r="AH20" s="7"/>
      <c r="AI20" s="72">
        <v>39501</v>
      </c>
      <c r="AJ20" s="73">
        <v>7065612.8499999931</v>
      </c>
      <c r="AK20" s="39"/>
      <c r="AL20" s="72">
        <v>39865</v>
      </c>
      <c r="AM20" s="73">
        <v>7439983.1319998326</v>
      </c>
      <c r="AN20" s="39"/>
      <c r="AO20" s="72">
        <v>40229</v>
      </c>
      <c r="AP20" s="82">
        <v>7783526.3999998746</v>
      </c>
      <c r="AQ20" s="39"/>
      <c r="AR20" s="72">
        <v>40593</v>
      </c>
      <c r="AS20" s="73">
        <v>7477611.5500000464</v>
      </c>
      <c r="AT20" s="39"/>
      <c r="AU20" s="72">
        <v>40957</v>
      </c>
      <c r="AV20" s="73">
        <v>7434954.3000000175</v>
      </c>
      <c r="AW20" s="73"/>
      <c r="AX20" s="107">
        <v>41321</v>
      </c>
      <c r="AY20" s="108">
        <v>7305022.1100010285</v>
      </c>
      <c r="AZ20" s="73"/>
      <c r="BA20" s="107">
        <v>41685</v>
      </c>
      <c r="BB20" s="108">
        <v>7695740.7200000165</v>
      </c>
      <c r="BC20" s="39"/>
      <c r="BD20" s="107">
        <v>42049</v>
      </c>
      <c r="BE20" s="108">
        <v>7638842.7400000552</v>
      </c>
      <c r="BF20" s="39"/>
      <c r="BG20" s="39"/>
      <c r="BH20" s="39"/>
      <c r="BI20" s="39"/>
      <c r="BJ20" s="72">
        <v>42777</v>
      </c>
      <c r="BK20" s="39">
        <f t="shared" si="6"/>
        <v>15334583.460000072</v>
      </c>
      <c r="BL20" s="39"/>
      <c r="BM20" s="9"/>
      <c r="BN20" s="9"/>
      <c r="BO20" s="10"/>
    </row>
    <row r="21" spans="1:67" ht="15" x14ac:dyDescent="0.25">
      <c r="A21">
        <v>18</v>
      </c>
      <c r="B21" s="2">
        <v>35497</v>
      </c>
      <c r="C21" s="5">
        <v>5178542.8600000255</v>
      </c>
      <c r="D21" s="13">
        <f t="shared" si="0"/>
        <v>5.8154084796460392E-2</v>
      </c>
      <c r="E21" s="6">
        <v>35861</v>
      </c>
      <c r="F21" s="5">
        <v>5139404.1100000301</v>
      </c>
      <c r="G21" s="13">
        <f t="shared" si="1"/>
        <v>5.8906094169066003E-2</v>
      </c>
      <c r="H21" s="2">
        <v>36225</v>
      </c>
      <c r="I21" s="5">
        <v>4973795.1500000125</v>
      </c>
      <c r="J21" s="13">
        <f t="shared" si="2"/>
        <v>5.6779942562377991E-2</v>
      </c>
      <c r="K21" s="2">
        <v>36589</v>
      </c>
      <c r="L21" s="5">
        <v>4956856.6499999752</v>
      </c>
      <c r="M21" s="13">
        <f t="shared" si="3"/>
        <v>5.5454314687464562E-2</v>
      </c>
      <c r="N21" s="2">
        <v>36953</v>
      </c>
      <c r="O21" s="5">
        <v>5001201.4199999599</v>
      </c>
      <c r="P21" s="13">
        <f t="shared" si="4"/>
        <v>5.4307278344575563E-2</v>
      </c>
      <c r="Q21" s="8">
        <v>37317</v>
      </c>
      <c r="R21" s="5">
        <v>5473980.0400000066</v>
      </c>
      <c r="S21" s="13">
        <f t="shared" si="5"/>
        <v>5.601459009837393E-2</v>
      </c>
      <c r="T21" s="8">
        <v>37681</v>
      </c>
      <c r="U21" s="3">
        <v>5798166.4800000004</v>
      </c>
      <c r="W21" s="28">
        <v>38045</v>
      </c>
      <c r="X21" s="27">
        <v>5971483.0199999847</v>
      </c>
      <c r="Y21" s="7"/>
      <c r="Z21" s="28">
        <v>38409</v>
      </c>
      <c r="AA21" s="27">
        <v>6411146.6000000164</v>
      </c>
      <c r="AB21" s="7"/>
      <c r="AC21" s="28">
        <v>38773</v>
      </c>
      <c r="AD21" s="27">
        <v>6152276.1400000071</v>
      </c>
      <c r="AE21" s="7"/>
      <c r="AF21" s="64">
        <v>39151</v>
      </c>
      <c r="AG21" s="65">
        <v>6757427.8100000238</v>
      </c>
      <c r="AH21" s="7"/>
      <c r="AI21" s="72">
        <v>39515</v>
      </c>
      <c r="AJ21" s="73">
        <v>7086997.6399999866</v>
      </c>
      <c r="AK21" s="39"/>
      <c r="AL21" s="72">
        <v>39879</v>
      </c>
      <c r="AM21" s="73">
        <v>7433158.1699998938</v>
      </c>
      <c r="AN21" s="39"/>
      <c r="AO21" s="72">
        <v>40243</v>
      </c>
      <c r="AP21" s="82">
        <v>7247248.5999999288</v>
      </c>
      <c r="AQ21" s="39"/>
      <c r="AR21" s="72">
        <v>40607</v>
      </c>
      <c r="AS21" s="73">
        <v>7809210.2900000187</v>
      </c>
      <c r="AT21" s="39"/>
      <c r="AU21" s="72">
        <v>40971</v>
      </c>
      <c r="AV21" s="73">
        <v>7424006.5399999861</v>
      </c>
      <c r="AW21" s="73"/>
      <c r="AX21" s="107">
        <v>41335</v>
      </c>
      <c r="AY21" s="108">
        <v>7692656.6299999794</v>
      </c>
      <c r="AZ21" s="73"/>
      <c r="BA21" s="107">
        <v>41699</v>
      </c>
      <c r="BB21" s="108">
        <v>8252475.0900000026</v>
      </c>
      <c r="BC21" s="39"/>
      <c r="BD21" s="107">
        <v>42063</v>
      </c>
      <c r="BE21" s="108">
        <v>8230160.3000000678</v>
      </c>
      <c r="BF21" s="39"/>
      <c r="BG21" s="39"/>
      <c r="BH21" s="39"/>
      <c r="BI21" s="39"/>
      <c r="BJ21" s="72">
        <v>42791</v>
      </c>
      <c r="BK21" s="39">
        <f t="shared" si="6"/>
        <v>16482635.390000071</v>
      </c>
      <c r="BL21" s="39">
        <f>SUM(BK20:BK21)</f>
        <v>31817218.850000143</v>
      </c>
      <c r="BM21" s="9">
        <f>ROUND((BL21/$BK$30),6)</f>
        <v>5.8368000000000003E-2</v>
      </c>
      <c r="BN21" s="9">
        <f>ROUND((BL21/BK$30),5)</f>
        <v>5.8369999999999998E-2</v>
      </c>
      <c r="BO21" s="10"/>
    </row>
    <row r="22" spans="1:67" ht="15" x14ac:dyDescent="0.25">
      <c r="A22">
        <v>19</v>
      </c>
      <c r="B22" s="2">
        <v>35511</v>
      </c>
      <c r="C22" s="5">
        <v>5168159.7399999937</v>
      </c>
      <c r="D22" s="13">
        <f t="shared" si="0"/>
        <v>5.8037484266686333E-2</v>
      </c>
      <c r="E22" s="6">
        <v>35875</v>
      </c>
      <c r="F22" s="5">
        <v>5061712.5200000079</v>
      </c>
      <c r="G22" s="13">
        <f t="shared" si="1"/>
        <v>5.8015619705736488E-2</v>
      </c>
      <c r="H22" s="2">
        <v>36239</v>
      </c>
      <c r="I22" s="5">
        <v>5023181.1100000106</v>
      </c>
      <c r="J22" s="13">
        <f t="shared" si="2"/>
        <v>5.7343723716933137E-2</v>
      </c>
      <c r="K22" s="2">
        <v>36603</v>
      </c>
      <c r="L22" s="5">
        <v>5031282.0199999893</v>
      </c>
      <c r="M22" s="13">
        <f t="shared" si="3"/>
        <v>5.6286940720479212E-2</v>
      </c>
      <c r="N22" s="2">
        <v>36967</v>
      </c>
      <c r="O22" s="5">
        <v>5004807.9399999576</v>
      </c>
      <c r="P22" s="13">
        <f t="shared" si="4"/>
        <v>5.4346440991517135E-2</v>
      </c>
      <c r="Q22" s="8">
        <v>37331</v>
      </c>
      <c r="R22" s="5">
        <v>5205888.3899999997</v>
      </c>
      <c r="S22" s="13">
        <f t="shared" si="5"/>
        <v>5.3271239963040388E-2</v>
      </c>
      <c r="T22" s="8">
        <v>37695</v>
      </c>
      <c r="U22" s="3">
        <v>5727829.6799999997</v>
      </c>
      <c r="W22" s="28">
        <v>38059</v>
      </c>
      <c r="X22" s="27">
        <v>5878065.5899999533</v>
      </c>
      <c r="Y22" s="7"/>
      <c r="Z22" s="28">
        <v>38423</v>
      </c>
      <c r="AA22" s="27">
        <v>6375282.8699999973</v>
      </c>
      <c r="AB22" s="7"/>
      <c r="AC22" s="28">
        <v>38787</v>
      </c>
      <c r="AD22" s="27">
        <v>6330635.4799999967</v>
      </c>
      <c r="AE22" s="7"/>
      <c r="AF22" s="64">
        <v>39165</v>
      </c>
      <c r="AG22" s="65">
        <v>6863143.5099999961</v>
      </c>
      <c r="AH22" s="7"/>
      <c r="AI22" s="72">
        <v>39529</v>
      </c>
      <c r="AJ22" s="73">
        <v>7164582.5699999304</v>
      </c>
      <c r="AK22" s="39"/>
      <c r="AL22" s="72">
        <v>39893</v>
      </c>
      <c r="AM22" s="73">
        <v>7275796.4499998838</v>
      </c>
      <c r="AN22" s="39"/>
      <c r="AO22" s="72">
        <v>40257</v>
      </c>
      <c r="AP22" s="82">
        <v>7294813.0999999251</v>
      </c>
      <c r="AQ22" s="39"/>
      <c r="AR22" s="72">
        <v>40621</v>
      </c>
      <c r="AS22" s="73">
        <v>7335527.0700000357</v>
      </c>
      <c r="AT22" s="39"/>
      <c r="AU22" s="72">
        <v>40985</v>
      </c>
      <c r="AV22" s="73">
        <v>7327014.7500000158</v>
      </c>
      <c r="AW22" s="73"/>
      <c r="AX22" s="107">
        <v>41349</v>
      </c>
      <c r="AY22" s="108">
        <v>7242408.18000005</v>
      </c>
      <c r="AZ22" s="73"/>
      <c r="BA22" s="107">
        <v>41713</v>
      </c>
      <c r="BB22" s="108">
        <v>7827691.6799999736</v>
      </c>
      <c r="BC22" s="39"/>
      <c r="BD22" s="107">
        <v>42077</v>
      </c>
      <c r="BE22" s="108">
        <v>7714129.2000000915</v>
      </c>
      <c r="BF22" s="39"/>
      <c r="BG22" s="39"/>
      <c r="BH22" s="39"/>
      <c r="BI22" s="39"/>
      <c r="BJ22" s="72">
        <v>42805</v>
      </c>
      <c r="BK22" s="39">
        <f t="shared" si="6"/>
        <v>15541820.880000066</v>
      </c>
      <c r="BL22" s="39"/>
      <c r="BM22" s="9"/>
      <c r="BN22" s="9"/>
      <c r="BO22" s="10"/>
    </row>
    <row r="23" spans="1:67" ht="15" x14ac:dyDescent="0.25">
      <c r="A23">
        <v>20</v>
      </c>
      <c r="B23" s="2">
        <v>35525</v>
      </c>
      <c r="C23" s="5">
        <v>5141793.6800000314</v>
      </c>
      <c r="D23" s="13">
        <f t="shared" si="0"/>
        <v>5.7741398257467443E-2</v>
      </c>
      <c r="E23" s="6">
        <v>35889</v>
      </c>
      <c r="F23" s="5">
        <v>4970119.2999999737</v>
      </c>
      <c r="G23" s="13">
        <f t="shared" si="1"/>
        <v>5.6965809508466365E-2</v>
      </c>
      <c r="H23" s="2">
        <v>36253</v>
      </c>
      <c r="I23" s="5">
        <v>5013648.6100000432</v>
      </c>
      <c r="J23" s="13">
        <f t="shared" si="2"/>
        <v>5.7234902427324132E-2</v>
      </c>
      <c r="K23" s="2">
        <v>36617</v>
      </c>
      <c r="L23" s="5">
        <v>4919390.4700000072</v>
      </c>
      <c r="M23" s="13">
        <f t="shared" si="3"/>
        <v>5.5035165722191297E-2</v>
      </c>
      <c r="N23" s="2">
        <v>36981</v>
      </c>
      <c r="O23" s="5">
        <v>5058950.969999956</v>
      </c>
      <c r="P23" s="13">
        <f t="shared" si="4"/>
        <v>5.4934371841266559E-2</v>
      </c>
      <c r="Q23" s="8">
        <v>37345</v>
      </c>
      <c r="R23" s="5">
        <v>5274418.1099999817</v>
      </c>
      <c r="S23" s="13">
        <f t="shared" si="5"/>
        <v>5.3972496479743969E-2</v>
      </c>
      <c r="T23" s="8">
        <v>37709</v>
      </c>
      <c r="U23" s="3">
        <v>5555751.5</v>
      </c>
      <c r="W23" s="28">
        <v>38073</v>
      </c>
      <c r="X23" s="27">
        <v>5835056.8299999768</v>
      </c>
      <c r="Y23" s="7"/>
      <c r="Z23" s="28">
        <v>38437</v>
      </c>
      <c r="AA23" s="27">
        <v>6341099.9200000186</v>
      </c>
      <c r="AB23" s="7"/>
      <c r="AC23" s="28">
        <v>38801</v>
      </c>
      <c r="AD23" s="27">
        <v>6235267.6499999892</v>
      </c>
      <c r="AE23" s="7"/>
      <c r="AF23" s="64">
        <v>39179</v>
      </c>
      <c r="AG23" s="65">
        <v>6901370.8599999854</v>
      </c>
      <c r="AH23" s="7"/>
      <c r="AI23" s="72">
        <v>39543</v>
      </c>
      <c r="AJ23" s="73">
        <v>7224448.1099998886</v>
      </c>
      <c r="AK23" s="39"/>
      <c r="AL23" s="72">
        <v>39907</v>
      </c>
      <c r="AM23" s="73">
        <v>7307060.299999835</v>
      </c>
      <c r="AN23" s="39"/>
      <c r="AO23" s="72">
        <v>40271</v>
      </c>
      <c r="AP23" s="82">
        <v>7419896.3699998725</v>
      </c>
      <c r="AQ23" s="39"/>
      <c r="AR23" s="72">
        <v>40635</v>
      </c>
      <c r="AS23" s="73">
        <v>7677229.8999999994</v>
      </c>
      <c r="AT23" s="39"/>
      <c r="AU23" s="72">
        <v>40999</v>
      </c>
      <c r="AV23" s="73">
        <f>17749941.46-AV77</f>
        <v>7198135.620000001</v>
      </c>
      <c r="AW23" s="73"/>
      <c r="AX23" s="107">
        <v>41363</v>
      </c>
      <c r="AY23" s="108">
        <v>7356066.3199999798</v>
      </c>
      <c r="AZ23" s="73"/>
      <c r="BA23" s="107">
        <v>41727</v>
      </c>
      <c r="BB23" s="108">
        <v>7521182.6999999788</v>
      </c>
      <c r="BC23" s="39"/>
      <c r="BD23" s="107">
        <v>42091</v>
      </c>
      <c r="BE23" s="108">
        <v>7667566.0500100674</v>
      </c>
      <c r="BF23" s="39"/>
      <c r="BG23" s="39"/>
      <c r="BH23" s="39"/>
      <c r="BI23" s="39"/>
      <c r="BJ23" s="72">
        <v>42819</v>
      </c>
      <c r="BK23" s="39">
        <f t="shared" si="6"/>
        <v>15188748.750010047</v>
      </c>
      <c r="BL23" s="39">
        <f>SUM(BK22:BK23)</f>
        <v>30730569.630010113</v>
      </c>
      <c r="BM23" s="9">
        <f>ROUND((BL23/$BK$30),6)</f>
        <v>5.6375000000000001E-2</v>
      </c>
      <c r="BN23" s="9">
        <f>ROUND((BL23/BK$30),5)</f>
        <v>5.6370000000000003E-2</v>
      </c>
      <c r="BO23" s="10"/>
    </row>
    <row r="24" spans="1:67" ht="15" x14ac:dyDescent="0.25">
      <c r="A24">
        <v>21</v>
      </c>
      <c r="B24" s="2">
        <v>35539</v>
      </c>
      <c r="C24" s="5">
        <v>5271691.7199999774</v>
      </c>
      <c r="D24" s="13">
        <f t="shared" si="0"/>
        <v>5.9200129378802764E-2</v>
      </c>
      <c r="E24" s="6">
        <v>35903</v>
      </c>
      <c r="F24" s="5">
        <v>5015352.9599999432</v>
      </c>
      <c r="G24" s="13">
        <f t="shared" si="1"/>
        <v>5.748426226651767E-2</v>
      </c>
      <c r="H24" s="2">
        <v>36267</v>
      </c>
      <c r="I24" s="5">
        <v>4932334.4400000125</v>
      </c>
      <c r="J24" s="13">
        <f t="shared" si="2"/>
        <v>5.6306634623188856E-2</v>
      </c>
      <c r="K24" s="2">
        <v>36631</v>
      </c>
      <c r="L24" s="5">
        <v>4941169.4800000172</v>
      </c>
      <c r="M24" s="13">
        <f t="shared" si="3"/>
        <v>5.5278816115858012E-2</v>
      </c>
      <c r="N24" s="2">
        <v>36995</v>
      </c>
      <c r="O24" s="5">
        <v>4997960.9799999725</v>
      </c>
      <c r="P24" s="13">
        <f t="shared" si="4"/>
        <v>5.4272090904146857E-2</v>
      </c>
      <c r="Q24" s="8">
        <v>37359</v>
      </c>
      <c r="R24" s="5">
        <v>5409698.6700000335</v>
      </c>
      <c r="S24" s="13">
        <f t="shared" si="5"/>
        <v>5.5356806444579243E-2</v>
      </c>
      <c r="T24" s="8">
        <v>37723</v>
      </c>
      <c r="U24" s="3">
        <v>5661118.3899999997</v>
      </c>
      <c r="W24" s="28">
        <v>38087</v>
      </c>
      <c r="X24" s="27">
        <v>5898466.2399999741</v>
      </c>
      <c r="Y24" s="7"/>
      <c r="Z24" s="28">
        <v>38451</v>
      </c>
      <c r="AA24" s="27">
        <v>6268722.6700000325</v>
      </c>
      <c r="AB24" s="7"/>
      <c r="AC24" s="28">
        <v>38815</v>
      </c>
      <c r="AD24" s="27">
        <v>6207454.3999999501</v>
      </c>
      <c r="AE24" s="7"/>
      <c r="AF24" s="64">
        <v>39193</v>
      </c>
      <c r="AG24" s="65">
        <v>6702518.0100000221</v>
      </c>
      <c r="AH24" s="7"/>
      <c r="AI24" s="72">
        <v>39557</v>
      </c>
      <c r="AJ24" s="73">
        <v>7063745.159999934</v>
      </c>
      <c r="AK24" s="39"/>
      <c r="AL24" s="72">
        <v>39921</v>
      </c>
      <c r="AM24" s="73">
        <v>7322277.5899998834</v>
      </c>
      <c r="AN24" s="39"/>
      <c r="AO24" s="72">
        <v>40285</v>
      </c>
      <c r="AP24" s="82">
        <v>7538591.3899998832</v>
      </c>
      <c r="AQ24" s="39"/>
      <c r="AR24" s="72">
        <v>40649</v>
      </c>
      <c r="AS24" s="73">
        <v>7428927.2800000105</v>
      </c>
      <c r="AT24" s="39"/>
      <c r="AU24" s="72">
        <v>41013</v>
      </c>
      <c r="AV24" s="73">
        <v>7064535.1400000462</v>
      </c>
      <c r="AW24" s="73"/>
      <c r="AX24" s="107">
        <v>41377</v>
      </c>
      <c r="AY24" s="108">
        <v>7339363.6999999983</v>
      </c>
      <c r="AZ24" s="73"/>
      <c r="BA24" s="107">
        <v>41741</v>
      </c>
      <c r="BB24" s="108">
        <v>7613892.2900000094</v>
      </c>
      <c r="BC24" s="39"/>
      <c r="BD24" s="107">
        <v>42105</v>
      </c>
      <c r="BE24" s="108">
        <v>7692602.2700000405</v>
      </c>
      <c r="BF24" s="39"/>
      <c r="BG24" s="39"/>
      <c r="BH24" s="39"/>
      <c r="BI24" s="39"/>
      <c r="BJ24" s="72">
        <v>42833</v>
      </c>
      <c r="BK24" s="39">
        <f t="shared" si="6"/>
        <v>15306494.560000051</v>
      </c>
      <c r="BL24" s="39"/>
      <c r="BM24" s="9"/>
      <c r="BN24" s="9"/>
      <c r="BO24" s="10"/>
    </row>
    <row r="25" spans="1:67" ht="15" x14ac:dyDescent="0.25">
      <c r="A25">
        <v>22</v>
      </c>
      <c r="B25" s="2">
        <v>35553</v>
      </c>
      <c r="C25" s="5">
        <v>5165652.41</v>
      </c>
      <c r="D25" s="13">
        <f t="shared" si="0"/>
        <v>5.8009327411490903E-2</v>
      </c>
      <c r="E25" s="6">
        <v>35917</v>
      </c>
      <c r="F25" s="5">
        <v>5017010.2500000075</v>
      </c>
      <c r="G25" s="13">
        <f t="shared" si="1"/>
        <v>5.7503257558329669E-2</v>
      </c>
      <c r="H25" s="2">
        <v>36281</v>
      </c>
      <c r="I25" s="5">
        <v>4978725.1500000171</v>
      </c>
      <c r="J25" s="13">
        <f t="shared" si="2"/>
        <v>5.6836222547457953E-2</v>
      </c>
      <c r="K25" s="2">
        <v>36645</v>
      </c>
      <c r="L25" s="5">
        <v>4998613.7499999907</v>
      </c>
      <c r="M25" s="13">
        <f t="shared" si="3"/>
        <v>5.592146787089116E-2</v>
      </c>
      <c r="N25" s="2">
        <v>37009</v>
      </c>
      <c r="O25" s="5">
        <v>4967377.8899999568</v>
      </c>
      <c r="P25" s="13">
        <f t="shared" si="4"/>
        <v>5.3939993825507682E-2</v>
      </c>
      <c r="Q25" s="8">
        <v>37373</v>
      </c>
      <c r="R25" s="5">
        <v>5317753.4300000267</v>
      </c>
      <c r="S25" s="13">
        <f t="shared" si="5"/>
        <v>5.4415941682109815E-2</v>
      </c>
      <c r="T25" s="8">
        <v>37737</v>
      </c>
      <c r="U25" s="3">
        <v>5616957.8399999999</v>
      </c>
      <c r="W25" s="28">
        <v>38101</v>
      </c>
      <c r="X25" s="27">
        <v>6030506.8599999826</v>
      </c>
      <c r="Y25" s="7"/>
      <c r="Z25" s="28">
        <v>38465</v>
      </c>
      <c r="AA25" s="27">
        <v>6129323.3900000323</v>
      </c>
      <c r="AB25" s="7"/>
      <c r="AC25" s="28">
        <v>38829</v>
      </c>
      <c r="AD25" s="27">
        <v>6211484.6699999925</v>
      </c>
      <c r="AE25" s="7"/>
      <c r="AF25" s="64">
        <v>39207</v>
      </c>
      <c r="AG25" s="65">
        <v>6674983.3699999936</v>
      </c>
      <c r="AH25" s="7"/>
      <c r="AI25" s="72">
        <v>39571</v>
      </c>
      <c r="AJ25" s="73">
        <v>7108085.2999998825</v>
      </c>
      <c r="AK25" s="39"/>
      <c r="AL25" s="72">
        <v>39935</v>
      </c>
      <c r="AM25" s="73">
        <v>7313692.8699998837</v>
      </c>
      <c r="AN25" s="39"/>
      <c r="AO25" s="72">
        <v>40299</v>
      </c>
      <c r="AP25" s="82">
        <v>7542475.8499999167</v>
      </c>
      <c r="AQ25" s="39"/>
      <c r="AR25" s="72">
        <v>40663</v>
      </c>
      <c r="AS25" s="73">
        <v>7268144.9099999927</v>
      </c>
      <c r="AT25" s="39"/>
      <c r="AU25" s="72">
        <v>41027</v>
      </c>
      <c r="AV25" s="73">
        <v>7030730.1100000544</v>
      </c>
      <c r="AW25" s="73"/>
      <c r="AX25" s="107">
        <v>41391</v>
      </c>
      <c r="AY25" s="108">
        <v>6916592.8200000376</v>
      </c>
      <c r="AZ25" s="73"/>
      <c r="BA25" s="107">
        <v>41755</v>
      </c>
      <c r="BB25" s="108">
        <v>7530999.4700000379</v>
      </c>
      <c r="BC25" s="39"/>
      <c r="BD25" s="107">
        <v>42119</v>
      </c>
      <c r="BE25" s="108">
        <v>7560915.3400000911</v>
      </c>
      <c r="BF25" s="39"/>
      <c r="BG25" s="39"/>
      <c r="BH25" s="39"/>
      <c r="BI25" s="39"/>
      <c r="BJ25" s="72">
        <v>42847</v>
      </c>
      <c r="BK25" s="39">
        <f t="shared" si="6"/>
        <v>15091914.810000129</v>
      </c>
      <c r="BL25" s="39">
        <f>SUM(BK24:BK25)</f>
        <v>30398409.37000018</v>
      </c>
      <c r="BM25" s="9">
        <f>ROUND((BL25/$BK$30),6)</f>
        <v>5.5765000000000002E-2</v>
      </c>
      <c r="BN25" s="9">
        <f>ROUND((BL25/BK$30),5)</f>
        <v>5.577E-2</v>
      </c>
      <c r="BO25" s="10"/>
    </row>
    <row r="26" spans="1:67" ht="15" x14ac:dyDescent="0.25">
      <c r="A26">
        <v>23</v>
      </c>
      <c r="B26" s="2">
        <v>35567</v>
      </c>
      <c r="C26" s="5">
        <v>5182152.4600000335</v>
      </c>
      <c r="D26" s="13">
        <f t="shared" si="0"/>
        <v>5.8194619941221513E-2</v>
      </c>
      <c r="E26" s="6">
        <v>35931</v>
      </c>
      <c r="F26" s="5">
        <v>5023126.9800000051</v>
      </c>
      <c r="G26" s="13">
        <f t="shared" si="1"/>
        <v>5.7573365427972673E-2</v>
      </c>
      <c r="H26" s="2">
        <v>36295</v>
      </c>
      <c r="I26" s="5">
        <v>5016751.3199999845</v>
      </c>
      <c r="J26" s="13">
        <f t="shared" si="2"/>
        <v>5.7270322401462868E-2</v>
      </c>
      <c r="K26" s="2">
        <v>36659</v>
      </c>
      <c r="L26" s="5">
        <v>4863313.9099999843</v>
      </c>
      <c r="M26" s="13">
        <f t="shared" si="3"/>
        <v>5.4407815079555347E-2</v>
      </c>
      <c r="N26" s="2">
        <v>37023</v>
      </c>
      <c r="O26" s="11">
        <v>4962727.7099999459</v>
      </c>
      <c r="P26" s="13">
        <f t="shared" si="4"/>
        <v>5.3889498234867592E-2</v>
      </c>
      <c r="Q26" s="8">
        <v>37387</v>
      </c>
      <c r="R26" s="3">
        <v>5263043.88</v>
      </c>
      <c r="S26" s="13">
        <f t="shared" si="5"/>
        <v>5.3856105329889943E-2</v>
      </c>
      <c r="T26" s="8">
        <v>37751</v>
      </c>
      <c r="U26" s="3">
        <v>5564151.7199999997</v>
      </c>
      <c r="W26" s="28">
        <v>38115</v>
      </c>
      <c r="X26" s="27">
        <v>5874483.3099999418</v>
      </c>
      <c r="Y26" s="7"/>
      <c r="Z26" s="28">
        <v>38479</v>
      </c>
      <c r="AA26" s="27">
        <v>6105037.2099999981</v>
      </c>
      <c r="AB26" s="7"/>
      <c r="AC26" s="28">
        <v>38843</v>
      </c>
      <c r="AD26" s="27">
        <v>6147043.7300000023</v>
      </c>
      <c r="AE26" s="7"/>
      <c r="AF26" s="64">
        <v>39221</v>
      </c>
      <c r="AG26" s="65">
        <v>7786156.4099999815</v>
      </c>
      <c r="AH26" s="7"/>
      <c r="AI26" s="72">
        <v>39585</v>
      </c>
      <c r="AJ26" s="73">
        <v>9122951.6699999012</v>
      </c>
      <c r="AK26" s="39"/>
      <c r="AL26" s="72">
        <v>39949</v>
      </c>
      <c r="AM26" s="73">
        <v>8781569.0999998711</v>
      </c>
      <c r="AN26" s="39"/>
      <c r="AO26" s="72">
        <v>40313</v>
      </c>
      <c r="AP26" s="82">
        <v>8606127.7899999451</v>
      </c>
      <c r="AQ26" s="39"/>
      <c r="AR26" s="72">
        <v>40677</v>
      </c>
      <c r="AS26" s="73">
        <v>7269725.910000016</v>
      </c>
      <c r="AT26" s="39"/>
      <c r="AU26" s="72">
        <v>41041</v>
      </c>
      <c r="AV26" s="73">
        <v>7040243.04</v>
      </c>
      <c r="AW26" s="73"/>
      <c r="AX26" s="107">
        <v>41405</v>
      </c>
      <c r="AY26" s="108">
        <v>7030380.9700000249</v>
      </c>
      <c r="AZ26" s="73"/>
      <c r="BA26" s="107">
        <v>41769</v>
      </c>
      <c r="BB26" s="108">
        <v>7664007.3199999826</v>
      </c>
      <c r="BC26" s="39"/>
      <c r="BD26" s="107">
        <v>42133</v>
      </c>
      <c r="BE26" s="108">
        <v>7633867.540000055</v>
      </c>
      <c r="BF26" s="39"/>
      <c r="BG26" s="39"/>
      <c r="BH26" s="39"/>
      <c r="BI26" s="39"/>
      <c r="BJ26" s="72">
        <v>42861</v>
      </c>
      <c r="BK26" s="39">
        <f t="shared" si="6"/>
        <v>15297874.860000037</v>
      </c>
      <c r="BL26" s="39"/>
      <c r="BM26" s="9"/>
      <c r="BN26" s="9"/>
      <c r="BO26" s="10"/>
    </row>
    <row r="27" spans="1:67" ht="15" x14ac:dyDescent="0.25">
      <c r="A27">
        <v>24</v>
      </c>
      <c r="B27" s="2">
        <v>35581</v>
      </c>
      <c r="C27" s="5">
        <v>5110680.0000000112</v>
      </c>
      <c r="D27" s="13">
        <f t="shared" si="0"/>
        <v>5.7391997347990158E-2</v>
      </c>
      <c r="E27" s="6">
        <v>35945</v>
      </c>
      <c r="F27" s="5">
        <v>4937604.7199999643</v>
      </c>
      <c r="G27" s="13">
        <f t="shared" si="1"/>
        <v>5.6593138500241606E-2</v>
      </c>
      <c r="H27" s="2">
        <v>36309</v>
      </c>
      <c r="I27" s="5">
        <v>4991932.1700000223</v>
      </c>
      <c r="J27" s="13">
        <f t="shared" si="2"/>
        <v>5.6986991490368774E-2</v>
      </c>
      <c r="K27" s="2">
        <v>36673</v>
      </c>
      <c r="L27" s="5">
        <v>4755820.99</v>
      </c>
      <c r="M27" s="13">
        <f t="shared" si="3"/>
        <v>5.3205249293765758E-2</v>
      </c>
      <c r="N27" s="2">
        <v>37037</v>
      </c>
      <c r="O27" s="11">
        <v>4999232.3599999631</v>
      </c>
      <c r="P27" s="13">
        <f t="shared" si="4"/>
        <v>5.4285896624361424E-2</v>
      </c>
      <c r="Q27" s="8">
        <v>37401</v>
      </c>
      <c r="R27" s="3">
        <v>5279493.6500000004</v>
      </c>
      <c r="S27" s="13">
        <f t="shared" si="5"/>
        <v>5.4024433880054429E-2</v>
      </c>
      <c r="T27" s="8">
        <v>37765</v>
      </c>
      <c r="U27" s="3">
        <v>5572937.4199999999</v>
      </c>
      <c r="V27" s="8"/>
      <c r="W27" s="28">
        <v>38129</v>
      </c>
      <c r="X27" s="27">
        <v>5829903.5999999549</v>
      </c>
      <c r="Y27" s="7"/>
      <c r="Z27" s="28">
        <v>38493</v>
      </c>
      <c r="AA27" s="27">
        <v>6143812.5199999856</v>
      </c>
      <c r="AB27" s="7"/>
      <c r="AC27" s="28">
        <v>38857</v>
      </c>
      <c r="AD27" s="27">
        <v>6134210.8000000054</v>
      </c>
      <c r="AE27" s="7"/>
      <c r="AF27" s="64">
        <v>39235</v>
      </c>
      <c r="AG27" s="65">
        <v>6770466.2799999909</v>
      </c>
      <c r="AH27" s="7"/>
      <c r="AI27" s="72">
        <v>39599</v>
      </c>
      <c r="AJ27" s="73">
        <v>7108953.3699999135</v>
      </c>
      <c r="AK27" s="39"/>
      <c r="AL27" s="72">
        <v>39963</v>
      </c>
      <c r="AM27" s="73">
        <v>7295812.6199998651</v>
      </c>
      <c r="AN27" s="39"/>
      <c r="AO27" s="72">
        <v>40327</v>
      </c>
      <c r="AP27" s="82">
        <v>7265440.6599999219</v>
      </c>
      <c r="AQ27" s="39"/>
      <c r="AR27" s="72">
        <v>40691</v>
      </c>
      <c r="AS27" s="73">
        <v>8590118.6800000221</v>
      </c>
      <c r="AT27" s="39"/>
      <c r="AU27" s="72">
        <v>41055</v>
      </c>
      <c r="AV27" s="73">
        <v>8800299.8699999992</v>
      </c>
      <c r="AW27" s="73"/>
      <c r="AX27" s="107">
        <v>41419</v>
      </c>
      <c r="AY27" s="108">
        <v>8722363.860000018</v>
      </c>
      <c r="AZ27" s="73"/>
      <c r="BA27" s="107">
        <v>41783</v>
      </c>
      <c r="BB27" s="108">
        <v>9099929.620000029</v>
      </c>
      <c r="BC27" s="39"/>
      <c r="BD27" s="107">
        <v>42147</v>
      </c>
      <c r="BE27" s="108">
        <v>9223102.1100000571</v>
      </c>
      <c r="BF27" s="39"/>
      <c r="BG27" s="39"/>
      <c r="BH27" s="39"/>
      <c r="BI27" s="39"/>
      <c r="BJ27" s="72">
        <v>42875</v>
      </c>
      <c r="BK27" s="39">
        <f t="shared" si="6"/>
        <v>18323031.730000086</v>
      </c>
      <c r="BL27" s="39">
        <f>SUM(BK26:BK27)</f>
        <v>33620906.590000123</v>
      </c>
      <c r="BM27" s="9">
        <f>ROUND((BL27/$BK$30),6)</f>
        <v>6.1677000000000003E-2</v>
      </c>
      <c r="BN27" s="9">
        <f>ROUND((BL27/BK$30),5)</f>
        <v>6.1679999999999999E-2</v>
      </c>
      <c r="BO27" s="10"/>
    </row>
    <row r="28" spans="1:67" ht="15" x14ac:dyDescent="0.25">
      <c r="A28">
        <v>25</v>
      </c>
      <c r="B28" s="2">
        <v>35595</v>
      </c>
      <c r="C28" s="5">
        <v>5106505.209999972</v>
      </c>
      <c r="D28" s="13">
        <f t="shared" si="0"/>
        <v>5.7345115223378429E-2</v>
      </c>
      <c r="E28" s="6">
        <v>35959</v>
      </c>
      <c r="F28" s="5">
        <v>4929710.9299999904</v>
      </c>
      <c r="G28" s="13">
        <f t="shared" si="1"/>
        <v>5.6502662575963827E-2</v>
      </c>
      <c r="H28" s="2">
        <v>36323</v>
      </c>
      <c r="I28" s="5">
        <v>4988760.9100000523</v>
      </c>
      <c r="J28" s="13">
        <f t="shared" si="2"/>
        <v>5.6950788961873271E-2</v>
      </c>
      <c r="K28" s="2">
        <v>36687</v>
      </c>
      <c r="L28" s="5">
        <v>4832957.4699999904</v>
      </c>
      <c r="M28" s="13">
        <f t="shared" si="3"/>
        <v>5.4068205585996398E-2</v>
      </c>
      <c r="N28" s="2">
        <v>37051</v>
      </c>
      <c r="O28" s="11">
        <v>4978032.9499999378</v>
      </c>
      <c r="P28" s="13">
        <f t="shared" si="4"/>
        <v>5.4055695486089295E-2</v>
      </c>
      <c r="Q28" s="8">
        <v>37415</v>
      </c>
      <c r="R28" s="3">
        <v>5269139.97</v>
      </c>
      <c r="S28" s="13">
        <f t="shared" si="5"/>
        <v>5.3918485897604396E-2</v>
      </c>
      <c r="T28" s="8">
        <v>37779</v>
      </c>
      <c r="U28" s="3">
        <v>5581037</v>
      </c>
      <c r="W28" s="28">
        <v>38143</v>
      </c>
      <c r="X28" s="27">
        <v>5939732.3999999957</v>
      </c>
      <c r="Y28" s="7"/>
      <c r="Z28" s="8">
        <v>38507</v>
      </c>
      <c r="AA28" s="7">
        <v>6150410.2599999998</v>
      </c>
      <c r="AB28" s="7"/>
      <c r="AC28" s="28">
        <v>38871</v>
      </c>
      <c r="AD28" s="7">
        <v>6216646.7300000004</v>
      </c>
      <c r="AE28" s="7"/>
      <c r="AF28" s="64">
        <v>39249</v>
      </c>
      <c r="AG28" s="65">
        <v>6836974.4000000134</v>
      </c>
      <c r="AH28" s="13">
        <f t="shared" ref="AH28:AH29" si="7">AG28/AD28</f>
        <v>1.0997849318035824</v>
      </c>
      <c r="AI28" s="72">
        <v>39613</v>
      </c>
      <c r="AJ28" s="73">
        <v>7064918.789999905</v>
      </c>
      <c r="AK28" s="59">
        <f>AJ28/AG28</f>
        <v>1.0333399507828918</v>
      </c>
      <c r="AL28" s="72">
        <v>39977</v>
      </c>
      <c r="AM28" s="73">
        <v>7290858.6099999035</v>
      </c>
      <c r="AN28" s="59">
        <f>AM28/AJ28</f>
        <v>1.0319805261342574</v>
      </c>
      <c r="AO28" s="72">
        <v>40341</v>
      </c>
      <c r="AP28" s="73">
        <v>7479757.9400000535</v>
      </c>
      <c r="AQ28" s="59">
        <f>AP28/AM28</f>
        <v>1.0259090650504541</v>
      </c>
      <c r="AR28" s="72">
        <v>40705</v>
      </c>
      <c r="AS28" s="74">
        <v>7191988.2999999998</v>
      </c>
      <c r="AT28" s="59">
        <f>AS28/AP28</f>
        <v>0.96152687796738356</v>
      </c>
      <c r="AU28" s="72">
        <v>41069</v>
      </c>
      <c r="AV28" s="92">
        <v>7297511.5800000001</v>
      </c>
      <c r="AW28" s="59">
        <f>AV28/AS28</f>
        <v>1.0146723375509386</v>
      </c>
      <c r="AX28" s="107">
        <v>41433</v>
      </c>
      <c r="AY28" s="108">
        <v>7190731.2399999881</v>
      </c>
      <c r="AZ28" s="59">
        <f>AY28/AV28</f>
        <v>0.98536756826907124</v>
      </c>
      <c r="BA28" s="107">
        <v>41797</v>
      </c>
      <c r="BB28" s="114">
        <v>7560390.04</v>
      </c>
      <c r="BC28" s="59">
        <f>BB28/AY28</f>
        <v>1.0514076785325679</v>
      </c>
      <c r="BD28" s="107">
        <v>42161</v>
      </c>
      <c r="BE28" s="108">
        <v>7711681.7400000272</v>
      </c>
      <c r="BF28" s="59">
        <f>BE28/BB28</f>
        <v>1.0200110972052479</v>
      </c>
      <c r="BG28" s="72">
        <v>42889</v>
      </c>
      <c r="BH28" s="114">
        <f>BE28*BF28</f>
        <v>7866000.9529151022</v>
      </c>
      <c r="BI28" s="75"/>
      <c r="BJ28" s="72">
        <v>42889</v>
      </c>
      <c r="BK28" s="39">
        <f t="shared" si="6"/>
        <v>23138072.73291513</v>
      </c>
      <c r="BL28" s="37"/>
    </row>
    <row r="29" spans="1:67" ht="15" x14ac:dyDescent="0.25">
      <c r="A29">
        <v>26</v>
      </c>
      <c r="B29" s="2">
        <v>35609</v>
      </c>
      <c r="C29" s="5">
        <v>5137105.26</v>
      </c>
      <c r="D29" s="13">
        <f t="shared" si="0"/>
        <v>5.768874816233175E-2</v>
      </c>
      <c r="E29" s="6">
        <v>35973</v>
      </c>
      <c r="F29" s="5">
        <v>4934695.0899999849</v>
      </c>
      <c r="G29" s="13">
        <f t="shared" si="1"/>
        <v>5.6559789315179E-2</v>
      </c>
      <c r="H29" s="2">
        <v>36337</v>
      </c>
      <c r="I29" s="5">
        <v>4970447.6700000223</v>
      </c>
      <c r="J29" s="13">
        <f t="shared" si="2"/>
        <v>5.6741728338350658E-2</v>
      </c>
      <c r="K29" s="2">
        <v>36701</v>
      </c>
      <c r="L29" s="5">
        <v>4698138.4199999841</v>
      </c>
      <c r="M29" s="13">
        <f t="shared" si="3"/>
        <v>5.2559931582437026E-2</v>
      </c>
      <c r="N29" s="2">
        <v>37065</v>
      </c>
      <c r="O29" s="11">
        <v>5154657.4599999469</v>
      </c>
      <c r="P29" s="13">
        <f t="shared" si="4"/>
        <v>5.5973633921579231E-2</v>
      </c>
      <c r="Q29" s="8">
        <v>37429</v>
      </c>
      <c r="R29" s="3">
        <v>5300230.92</v>
      </c>
      <c r="S29" s="13">
        <f t="shared" si="5"/>
        <v>5.4236635910445703E-2</v>
      </c>
      <c r="T29" s="8">
        <v>37793</v>
      </c>
      <c r="U29" s="3">
        <v>5564843.3399999999</v>
      </c>
      <c r="W29" s="28">
        <v>38157</v>
      </c>
      <c r="X29" s="27">
        <v>5926342.2099999497</v>
      </c>
      <c r="Y29" s="7"/>
      <c r="Z29" s="8">
        <v>38521</v>
      </c>
      <c r="AA29" s="7">
        <v>6123152.1500000004</v>
      </c>
      <c r="AB29" s="7"/>
      <c r="AC29" s="28">
        <v>38885</v>
      </c>
      <c r="AD29" s="7">
        <v>6335539.7199999997</v>
      </c>
      <c r="AE29" s="7"/>
      <c r="AF29" s="64">
        <v>39263</v>
      </c>
      <c r="AG29" s="65">
        <v>6730134.6299999878</v>
      </c>
      <c r="AH29" s="13">
        <f t="shared" si="7"/>
        <v>1.062282761601878</v>
      </c>
      <c r="AI29" s="72">
        <v>39627</v>
      </c>
      <c r="AJ29" s="73">
        <v>7235810.7299998971</v>
      </c>
      <c r="AK29" s="59">
        <f>AJ29/AG29</f>
        <v>1.07513610466956</v>
      </c>
      <c r="AL29" s="72">
        <v>39991</v>
      </c>
      <c r="AM29" s="73">
        <v>7290738.0299998857</v>
      </c>
      <c r="AN29" s="59">
        <f>AM29/AJ29</f>
        <v>1.0075910360358458</v>
      </c>
      <c r="AO29" s="72">
        <v>40355</v>
      </c>
      <c r="AP29" s="73">
        <v>7333573.3100000499</v>
      </c>
      <c r="AQ29" s="59">
        <f>AP29/AM29</f>
        <v>1.005875300939892</v>
      </c>
      <c r="AR29" s="72">
        <v>40719</v>
      </c>
      <c r="AS29" s="74">
        <v>7159154.1399999997</v>
      </c>
      <c r="AT29" s="59">
        <f>AS29/AP29</f>
        <v>0.97621634602572083</v>
      </c>
      <c r="AU29" s="72">
        <v>41083</v>
      </c>
      <c r="AV29" s="92">
        <v>7225338.9000000004</v>
      </c>
      <c r="AW29" s="59">
        <f>AV29/AS29</f>
        <v>1.0092447737128902</v>
      </c>
      <c r="AX29" s="107">
        <v>41447</v>
      </c>
      <c r="AY29" s="108">
        <v>7094312.5100000398</v>
      </c>
      <c r="AZ29" s="59">
        <f>AY29/AV29</f>
        <v>0.98186571013299317</v>
      </c>
      <c r="BA29" s="107">
        <v>41811</v>
      </c>
      <c r="BB29" s="114">
        <v>7472033.4400000004</v>
      </c>
      <c r="BC29" s="59">
        <f>BB29/AY29</f>
        <v>1.0532427813783973</v>
      </c>
      <c r="BD29" s="107">
        <v>42175</v>
      </c>
      <c r="BE29" s="108">
        <v>7711627.5800000746</v>
      </c>
      <c r="BF29" s="59">
        <f>BE29/BB29</f>
        <v>1.032065453390165</v>
      </c>
      <c r="BG29" s="72">
        <v>42903</v>
      </c>
      <c r="BH29" s="114">
        <f>BE29*BF29</f>
        <v>7958904.4147288781</v>
      </c>
      <c r="BI29" s="75"/>
      <c r="BJ29" s="72">
        <v>42903</v>
      </c>
      <c r="BK29" s="39">
        <f t="shared" si="6"/>
        <v>23142565.43472895</v>
      </c>
      <c r="BL29" s="39">
        <f>SUM(BK28:BK29)</f>
        <v>46280638.167644083</v>
      </c>
      <c r="BM29" s="9">
        <f>ROUND((BL29/$BK$30),6)-0.000001</f>
        <v>8.4900000000000003E-2</v>
      </c>
      <c r="BN29" s="9">
        <f>ROUND((BL29/BK$30),5)</f>
        <v>8.4900000000000003E-2</v>
      </c>
      <c r="BO29" s="10"/>
    </row>
    <row r="30" spans="1:67" ht="15" x14ac:dyDescent="0.25">
      <c r="C30" s="3">
        <f>SUM(C4:C29)</f>
        <v>135873611.49999985</v>
      </c>
      <c r="F30" s="3">
        <f>SUM(F4:F29)</f>
        <v>134325551.46999988</v>
      </c>
      <c r="I30" s="3">
        <f>SUM(I4:I29)</f>
        <v>131122181.64000058</v>
      </c>
      <c r="L30" s="3">
        <f>SUM(L4:L29)</f>
        <v>129686685.5799997</v>
      </c>
      <c r="O30" s="3">
        <f>SUM(O4:O29)</f>
        <v>128451756.73999943</v>
      </c>
      <c r="R30" s="3">
        <f>SUM(R4:R29)</f>
        <v>135951121.94000044</v>
      </c>
      <c r="T30" s="8"/>
      <c r="U30" s="3">
        <f>SUM(U4:U29)</f>
        <v>147253874.41999999</v>
      </c>
      <c r="V30" s="8"/>
      <c r="W30" s="8"/>
      <c r="X30" s="3">
        <f>SUM(X4:X29)</f>
        <v>151097659.11999941</v>
      </c>
      <c r="Y30" s="3"/>
      <c r="Z30" s="3"/>
      <c r="AA30" s="3">
        <f>SUM(AA4:AA29)</f>
        <v>159590400.40999994</v>
      </c>
      <c r="AB30" s="3"/>
      <c r="AC30" s="3"/>
      <c r="AD30" s="3">
        <f>SUM(AD4:AD29)</f>
        <v>159923693.06500128</v>
      </c>
      <c r="AE30" s="3"/>
      <c r="AF30" s="3"/>
      <c r="AG30" s="3">
        <f>SUM(AG4:AG29)</f>
        <v>176489222.76109987</v>
      </c>
      <c r="AH30" s="3"/>
      <c r="AI30" s="38"/>
      <c r="AJ30" s="38">
        <f>SUM(AJ4:AJ29)</f>
        <v>190373147.25999892</v>
      </c>
      <c r="AK30" s="38"/>
      <c r="AL30" s="72"/>
      <c r="AM30" s="38">
        <f>SUM(AM4:AM29)</f>
        <v>195655526.71199721</v>
      </c>
      <c r="AN30" s="38"/>
      <c r="AO30" s="38"/>
      <c r="AP30" s="38">
        <f>SUM(AP4:AP29)</f>
        <v>196612138.44002879</v>
      </c>
      <c r="AQ30" s="38"/>
      <c r="AR30" s="38"/>
      <c r="AS30" s="38">
        <f>SUM(AS4:AS29)</f>
        <v>195544362.10000056</v>
      </c>
      <c r="AT30" s="38"/>
      <c r="AU30" s="38"/>
      <c r="AV30" s="38">
        <f>SUM(AV4:AV29)</f>
        <v>191753606.62010011</v>
      </c>
      <c r="AW30" s="38"/>
      <c r="AX30" s="38"/>
      <c r="AY30" s="38">
        <f>SUM(AY4:AY29)</f>
        <v>190682084.98000243</v>
      </c>
      <c r="AZ30" s="38"/>
      <c r="BA30" s="38"/>
      <c r="BB30" s="38">
        <f>SUM(BB4:BB29)</f>
        <v>200382180.34999952</v>
      </c>
      <c r="BC30" s="38"/>
      <c r="BD30" s="38"/>
      <c r="BE30" s="38">
        <f>SUM(BE4:BE29)</f>
        <v>205595653.89201155</v>
      </c>
      <c r="BF30" s="38"/>
      <c r="BG30" s="38"/>
      <c r="BH30" s="38">
        <f>SUM(BH4:BH29)</f>
        <v>139135209.65764424</v>
      </c>
      <c r="BI30" s="38"/>
      <c r="BJ30" s="58"/>
      <c r="BK30" s="38">
        <f>SUM(BK4:BK29)</f>
        <v>545113043.89965522</v>
      </c>
      <c r="BL30" s="76"/>
      <c r="BM30" s="10">
        <f>SUM(BM5:BM29)</f>
        <v>0.99999899999999986</v>
      </c>
      <c r="BN30" s="10">
        <f>SUM(BN5:BN29)</f>
        <v>1.0000100000000001</v>
      </c>
    </row>
    <row r="31" spans="1:67" ht="15" x14ac:dyDescent="0.25">
      <c r="C31" s="3">
        <f>SUM(C4:C27)</f>
        <v>125630001.02999988</v>
      </c>
      <c r="F31" s="3">
        <f>SUM(F4:F27)</f>
        <v>124461145.44999991</v>
      </c>
      <c r="I31" s="3">
        <f>SUM(I4:I27)</f>
        <v>121162973.06000051</v>
      </c>
      <c r="L31" s="3">
        <f>SUM(L4:L27)</f>
        <v>120155589.68999973</v>
      </c>
      <c r="O31" s="3">
        <f>SUM(O4:O27)</f>
        <v>118319066.32999954</v>
      </c>
      <c r="R31" s="3">
        <f>SUM(R4:R27)</f>
        <v>125381751.05000046</v>
      </c>
      <c r="T31" s="8"/>
      <c r="U31" s="3">
        <f>SUM(U4:U27)</f>
        <v>136107994.07999998</v>
      </c>
      <c r="V31" s="8"/>
      <c r="W31" s="8"/>
      <c r="X31" s="3">
        <f>SUM(X4:X27)</f>
        <v>139231584.50999945</v>
      </c>
      <c r="Y31" s="7"/>
      <c r="Z31" s="7"/>
      <c r="AA31" s="3">
        <f>SUM(AA4:AA27)</f>
        <v>147316837.99999994</v>
      </c>
      <c r="AB31" s="7"/>
      <c r="AC31" s="7"/>
      <c r="AD31" s="3">
        <f>SUM(AD4:AD27)</f>
        <v>147371506.61500129</v>
      </c>
      <c r="AE31" s="7"/>
      <c r="AF31" s="7"/>
      <c r="AG31" s="3">
        <f>SUM(AG4:AG20)</f>
        <v>114466047.48109989</v>
      </c>
      <c r="AH31" s="7"/>
      <c r="AI31" s="39"/>
      <c r="AJ31" s="38">
        <f>SUM(AJ4:AJ20)</f>
        <v>124192653.91999966</v>
      </c>
      <c r="AK31" s="39"/>
      <c r="AL31" s="72"/>
      <c r="AM31" s="38">
        <f>SUM(AM4:AM24)</f>
        <v>157682855.48199782</v>
      </c>
      <c r="AN31" s="39"/>
      <c r="AO31" s="39"/>
      <c r="AP31" s="38">
        <f>SUM(AP4:AP24)</f>
        <v>158384762.89002889</v>
      </c>
      <c r="AQ31" s="39"/>
      <c r="AR31" s="39"/>
      <c r="AS31" s="38">
        <f>SUM(AS4:AS24)</f>
        <v>158065230.1600005</v>
      </c>
      <c r="AT31" s="39"/>
      <c r="AU31" s="39"/>
      <c r="AV31" s="38">
        <f>SUM(AV4:AV24)</f>
        <v>154359483.12010005</v>
      </c>
      <c r="AW31" s="38"/>
      <c r="AX31" s="38"/>
      <c r="AY31" s="38">
        <f>SUM(AY4:AY24)</f>
        <v>153727703.58000231</v>
      </c>
      <c r="AZ31" s="38"/>
      <c r="BA31" s="38"/>
      <c r="BB31" s="38">
        <f>SUM(BB4:BB24)</f>
        <v>161054820.45999947</v>
      </c>
      <c r="BC31" s="39"/>
      <c r="BD31" s="39"/>
      <c r="BE31" s="3">
        <f>SUM(BE4:BE27)</f>
        <v>190172344.57201144</v>
      </c>
      <c r="BF31" s="39"/>
      <c r="BG31" s="39"/>
      <c r="BH31" s="3">
        <f>SUM(BH4:BH27)</f>
        <v>123310304.29000026</v>
      </c>
      <c r="BI31" s="39"/>
      <c r="BJ31" s="58"/>
      <c r="BK31" s="38">
        <f>SUM(BK4:BK29)</f>
        <v>545113043.89965522</v>
      </c>
      <c r="BL31" s="37"/>
    </row>
    <row r="32" spans="1:67" x14ac:dyDescent="0.2">
      <c r="AG32" s="13">
        <f>AG31/AG30</f>
        <v>0.64857244929932023</v>
      </c>
      <c r="AI32" s="37"/>
      <c r="AJ32" s="59">
        <f>AJ31/AJ30</f>
        <v>0.65236434711238789</v>
      </c>
      <c r="AK32" s="37"/>
      <c r="AL32" s="37"/>
      <c r="AM32" s="59">
        <f>AM31/AM30</f>
        <v>0.80592078400169731</v>
      </c>
      <c r="AN32" s="37"/>
      <c r="AO32" s="37"/>
      <c r="AP32" s="59">
        <f>AP31/AP30</f>
        <v>0.80556960595970473</v>
      </c>
      <c r="AQ32" s="37"/>
      <c r="AR32" s="37"/>
      <c r="AS32" s="59">
        <f>AS31/AS30</f>
        <v>0.80833437723541535</v>
      </c>
      <c r="AT32" s="37"/>
      <c r="AU32" s="37"/>
      <c r="AV32" s="59">
        <f>AV31/AV30</f>
        <v>0.80498868230371889</v>
      </c>
      <c r="AW32" s="59"/>
      <c r="AX32" s="59"/>
      <c r="AY32" s="59">
        <f>AY31/AY30</f>
        <v>0.80619898610886453</v>
      </c>
      <c r="AZ32" s="59"/>
      <c r="BA32" s="59"/>
      <c r="BB32" s="59">
        <f>BB31/BB30</f>
        <v>0.80373823749542739</v>
      </c>
      <c r="BC32" s="37"/>
      <c r="BD32" s="37"/>
      <c r="BE32" s="59">
        <f>BE31/BE30</f>
        <v>0.92498231831252054</v>
      </c>
      <c r="BF32" s="37"/>
      <c r="BG32" s="37"/>
      <c r="BH32" s="59">
        <f>BH31/BH30</f>
        <v>0.88626239607801138</v>
      </c>
      <c r="BI32" s="37"/>
      <c r="BJ32" s="37"/>
      <c r="BK32" s="37"/>
      <c r="BL32" s="37"/>
    </row>
    <row r="33" spans="1:67" x14ac:dyDescent="0.2">
      <c r="D33" s="13">
        <f>C28/C$31</f>
        <v>4.0647179560084228E-2</v>
      </c>
      <c r="G33" s="13">
        <f>F28/F$31</f>
        <v>3.9608432914354105E-2</v>
      </c>
      <c r="J33" s="13">
        <f>I28/I$31</f>
        <v>4.1173972410941027E-2</v>
      </c>
      <c r="M33" s="13">
        <f>L28/L$31</f>
        <v>4.0222493872061837E-2</v>
      </c>
      <c r="P33" s="13">
        <f>O28/O$31</f>
        <v>4.2072956662080829E-2</v>
      </c>
      <c r="S33" s="13">
        <f>R28/R$31</f>
        <v>4.202477574187604E-2</v>
      </c>
      <c r="V33" s="13">
        <f>U28/U$31</f>
        <v>4.1004476171470447E-2</v>
      </c>
      <c r="Y33" s="13">
        <f>X28/X$31</f>
        <v>4.2660811631957049E-2</v>
      </c>
      <c r="AB33" s="13">
        <f>(P33+S33+V33+Y33)/4</f>
        <v>4.1940755051846093E-2</v>
      </c>
      <c r="AE33" s="13">
        <f>(S33+V33+Y33+AB33)/4</f>
        <v>4.1907704649287406E-2</v>
      </c>
      <c r="AG33" s="66"/>
      <c r="AH33" s="13">
        <f>(V33+Y33+AB33+AE33)/4</f>
        <v>4.1878436876140249E-2</v>
      </c>
      <c r="AI33" s="59"/>
      <c r="AJ33" s="59"/>
      <c r="AK33" s="59"/>
      <c r="AL33" s="59"/>
      <c r="AM33" s="59"/>
      <c r="AN33" s="37"/>
      <c r="AO33" s="59"/>
      <c r="AP33" s="59"/>
      <c r="AQ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</row>
    <row r="34" spans="1:67" ht="15" x14ac:dyDescent="0.25">
      <c r="D34" s="13">
        <f>C29/C$31</f>
        <v>4.089075235121014E-2</v>
      </c>
      <c r="G34" s="13">
        <f>F29/F$31</f>
        <v>3.9648478825726481E-2</v>
      </c>
      <c r="J34" s="13">
        <f>I29/I$31</f>
        <v>4.1022826895627855E-2</v>
      </c>
      <c r="M34" s="13">
        <f>L29/L$31</f>
        <v>3.9100456600655337E-2</v>
      </c>
      <c r="P34" s="13">
        <f>O29/O$31</f>
        <v>4.3565738134066015E-2</v>
      </c>
      <c r="S34" s="13">
        <f>R29/R$31</f>
        <v>4.2272746038507177E-2</v>
      </c>
      <c r="V34" s="13">
        <f>U29/U$31</f>
        <v>4.0885499618260192E-2</v>
      </c>
      <c r="Y34" s="13">
        <f>X29/X$31</f>
        <v>4.2564639559742469E-2</v>
      </c>
      <c r="AB34" s="13">
        <f>(P34+S34+V34+Y34)/4</f>
        <v>4.2322155837643961E-2</v>
      </c>
      <c r="AE34" s="13">
        <f>(S34+V34+Y34+AB34)/4</f>
        <v>4.201126026353845E-2</v>
      </c>
      <c r="AH34" s="13">
        <f>(V34+Y34+AB34+AE34)/4</f>
        <v>4.1945888819796273E-2</v>
      </c>
      <c r="AI34" s="59"/>
      <c r="AJ34" s="59"/>
      <c r="AK34" s="59"/>
      <c r="AL34" s="59"/>
      <c r="AM34" s="59"/>
      <c r="AN34" s="37"/>
      <c r="AO34" s="59"/>
      <c r="AP34" s="59"/>
      <c r="AQ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 t="s">
        <v>213</v>
      </c>
      <c r="BD34" s="107">
        <v>42161</v>
      </c>
      <c r="BE34" s="38">
        <v>7949052.1407571482</v>
      </c>
      <c r="BF34" s="37" t="s">
        <v>213</v>
      </c>
      <c r="BG34" s="72">
        <v>42889</v>
      </c>
      <c r="BH34" s="38"/>
      <c r="BI34" s="37"/>
      <c r="BJ34" s="37"/>
      <c r="BK34" s="37"/>
      <c r="BL34" s="37"/>
    </row>
    <row r="35" spans="1:67" ht="15" x14ac:dyDescent="0.25">
      <c r="AC35" s="8">
        <v>38891</v>
      </c>
      <c r="AD35" s="3">
        <v>6596285.8899999997</v>
      </c>
      <c r="AL35" s="59"/>
      <c r="AM35" s="59"/>
      <c r="AO35" s="59"/>
      <c r="AP35" s="59"/>
      <c r="BC35" s="37" t="s">
        <v>213</v>
      </c>
      <c r="BD35" s="107">
        <v>42175</v>
      </c>
      <c r="BE35" s="3">
        <v>7869865.2828979949</v>
      </c>
      <c r="BF35" s="37" t="s">
        <v>213</v>
      </c>
      <c r="BG35" s="72">
        <v>42903</v>
      </c>
      <c r="BH35" s="3"/>
    </row>
    <row r="36" spans="1:67" x14ac:dyDescent="0.2">
      <c r="AL36" s="59"/>
      <c r="AM36" s="59"/>
      <c r="AO36" s="59"/>
      <c r="AP36" s="59"/>
    </row>
    <row r="37" spans="1:67" x14ac:dyDescent="0.2">
      <c r="AL37" s="59"/>
      <c r="AM37" s="59"/>
    </row>
    <row r="38" spans="1:67" x14ac:dyDescent="0.2">
      <c r="AL38" s="59"/>
      <c r="AM38" s="59"/>
    </row>
    <row r="39" spans="1:67" x14ac:dyDescent="0.2">
      <c r="AL39" s="59"/>
      <c r="AM39" s="59"/>
    </row>
    <row r="40" spans="1:67" x14ac:dyDescent="0.2">
      <c r="B40" t="s">
        <v>13</v>
      </c>
      <c r="E40" t="s">
        <v>12</v>
      </c>
      <c r="H40" t="s">
        <v>11</v>
      </c>
      <c r="K40" t="s">
        <v>10</v>
      </c>
      <c r="N40" t="s">
        <v>9</v>
      </c>
      <c r="Q40" t="s">
        <v>31</v>
      </c>
      <c r="T40" t="s">
        <v>32</v>
      </c>
      <c r="V40" s="8"/>
      <c r="W40" s="115" t="s">
        <v>107</v>
      </c>
      <c r="X40" s="115"/>
      <c r="Y40" s="25"/>
      <c r="Z40" s="115" t="s">
        <v>112</v>
      </c>
      <c r="AA40" s="115"/>
      <c r="AC40" s="115" t="s">
        <v>134</v>
      </c>
      <c r="AD40" s="115"/>
      <c r="AF40" s="115" t="s">
        <v>162</v>
      </c>
      <c r="AG40" s="115"/>
      <c r="AI40" s="115" t="s">
        <v>169</v>
      </c>
      <c r="AJ40" s="115"/>
      <c r="AL40" s="115" t="s">
        <v>178</v>
      </c>
      <c r="AM40" s="115"/>
      <c r="AO40" s="115" t="s">
        <v>182</v>
      </c>
      <c r="AP40" s="115"/>
      <c r="AR40" s="115" t="s">
        <v>185</v>
      </c>
      <c r="AS40" s="115"/>
      <c r="AU40" s="115" t="s">
        <v>190</v>
      </c>
      <c r="AV40" s="115"/>
      <c r="AW40" s="25"/>
      <c r="AX40" s="115" t="s">
        <v>198</v>
      </c>
      <c r="AY40" s="115"/>
      <c r="AZ40" s="25"/>
      <c r="BA40" s="115" t="s">
        <v>216</v>
      </c>
      <c r="BB40" s="115"/>
      <c r="BD40" s="115" t="s">
        <v>215</v>
      </c>
      <c r="BE40" s="115"/>
      <c r="BG40" s="115" t="s">
        <v>218</v>
      </c>
      <c r="BH40" s="115"/>
      <c r="BJ40" s="37" t="s">
        <v>136</v>
      </c>
      <c r="BK40" s="38" t="s">
        <v>183</v>
      </c>
      <c r="BN40" t="s">
        <v>14</v>
      </c>
      <c r="BO40" t="s">
        <v>16</v>
      </c>
    </row>
    <row r="41" spans="1:67" ht="15" x14ac:dyDescent="0.25">
      <c r="B41" s="1" t="s">
        <v>1</v>
      </c>
      <c r="C41" s="1" t="s">
        <v>2</v>
      </c>
      <c r="E41" s="1" t="s">
        <v>0</v>
      </c>
      <c r="F41" s="1" t="s">
        <v>2</v>
      </c>
      <c r="H41" s="1" t="s">
        <v>0</v>
      </c>
      <c r="I41" s="1" t="s">
        <v>2</v>
      </c>
      <c r="K41" s="1" t="s">
        <v>1</v>
      </c>
      <c r="L41" s="1" t="s">
        <v>2</v>
      </c>
      <c r="N41" s="1" t="s">
        <v>1</v>
      </c>
      <c r="O41" s="1" t="s">
        <v>2</v>
      </c>
      <c r="Q41" s="1" t="s">
        <v>1</v>
      </c>
      <c r="R41" s="4" t="s">
        <v>2</v>
      </c>
      <c r="T41" s="1" t="s">
        <v>1</v>
      </c>
      <c r="U41" s="4"/>
      <c r="V41" s="8"/>
      <c r="W41" s="26" t="s">
        <v>1</v>
      </c>
      <c r="X41" s="26" t="s">
        <v>2</v>
      </c>
      <c r="Y41" s="25"/>
      <c r="Z41" s="26" t="s">
        <v>1</v>
      </c>
      <c r="AA41" s="26" t="s">
        <v>2</v>
      </c>
      <c r="AC41" s="26" t="s">
        <v>1</v>
      </c>
      <c r="AD41" s="26" t="s">
        <v>2</v>
      </c>
      <c r="AF41" s="63" t="s">
        <v>1</v>
      </c>
      <c r="AG41" s="63" t="s">
        <v>2</v>
      </c>
      <c r="AI41" s="71" t="s">
        <v>1</v>
      </c>
      <c r="AJ41" s="71" t="s">
        <v>2</v>
      </c>
      <c r="AK41" s="37"/>
      <c r="AL41" s="71" t="s">
        <v>1</v>
      </c>
      <c r="AM41" s="71" t="s">
        <v>2</v>
      </c>
      <c r="AN41" s="37"/>
      <c r="AO41" s="71" t="s">
        <v>1</v>
      </c>
      <c r="AP41" s="71" t="s">
        <v>2</v>
      </c>
      <c r="AQ41" s="37"/>
      <c r="AR41" s="71" t="s">
        <v>1</v>
      </c>
      <c r="AS41" s="71" t="s">
        <v>2</v>
      </c>
      <c r="AT41" s="37"/>
      <c r="AU41" s="71" t="s">
        <v>1</v>
      </c>
      <c r="AV41" s="71" t="s">
        <v>2</v>
      </c>
      <c r="AW41" s="25"/>
      <c r="AX41" s="106" t="s">
        <v>1</v>
      </c>
      <c r="AY41" s="106" t="s">
        <v>2</v>
      </c>
      <c r="AZ41" s="73"/>
      <c r="BA41" s="106" t="s">
        <v>1</v>
      </c>
      <c r="BB41" s="106" t="s">
        <v>2</v>
      </c>
      <c r="BC41" s="37"/>
      <c r="BD41" s="106" t="s">
        <v>1</v>
      </c>
      <c r="BE41" s="106" t="s">
        <v>2</v>
      </c>
      <c r="BF41" s="37"/>
      <c r="BG41" s="106" t="s">
        <v>1</v>
      </c>
      <c r="BH41" s="106" t="s">
        <v>2</v>
      </c>
      <c r="BI41" s="37"/>
      <c r="BJ41" s="57" t="s">
        <v>1</v>
      </c>
      <c r="BK41" s="35" t="s">
        <v>2</v>
      </c>
      <c r="BN41" t="s">
        <v>15</v>
      </c>
    </row>
    <row r="42" spans="1:67" ht="15" x14ac:dyDescent="0.25">
      <c r="A42">
        <v>1</v>
      </c>
      <c r="B42" s="2">
        <v>35259</v>
      </c>
      <c r="C42" s="11">
        <v>3212047.87</v>
      </c>
      <c r="D42" s="13">
        <f>C42/C$68</f>
        <v>3.6070707388577851E-2</v>
      </c>
      <c r="E42" s="2">
        <v>35623</v>
      </c>
      <c r="F42" s="11">
        <v>3231159.6</v>
      </c>
      <c r="G42" s="13">
        <f>F42/F$68</f>
        <v>3.7034447496069836E-2</v>
      </c>
      <c r="H42" s="2">
        <v>35987</v>
      </c>
      <c r="I42" s="11">
        <v>3035336</v>
      </c>
      <c r="J42" s="13">
        <f>I42/I$68</f>
        <v>3.4650844785499006E-2</v>
      </c>
      <c r="K42" s="2">
        <v>36351</v>
      </c>
      <c r="L42" s="11">
        <v>3077016.5</v>
      </c>
      <c r="M42" s="13">
        <f>L42/L$68</f>
        <v>3.4423799867103616E-2</v>
      </c>
      <c r="N42" s="2">
        <v>36715</v>
      </c>
      <c r="O42" s="11">
        <v>2979619.069999984</v>
      </c>
      <c r="P42" s="13">
        <f>O42/O$68</f>
        <v>3.2355225995935953E-2</v>
      </c>
      <c r="Q42" s="8">
        <v>37079</v>
      </c>
      <c r="R42" s="5">
        <v>3171381.8500000113</v>
      </c>
      <c r="S42" s="13">
        <f>R42/R$68</f>
        <v>3.245237525074593E-2</v>
      </c>
      <c r="T42" s="8">
        <v>37443</v>
      </c>
      <c r="U42" s="3">
        <v>3572741.37</v>
      </c>
      <c r="V42" s="13">
        <f>U42/U$68</f>
        <v>3.461203962585515E-2</v>
      </c>
      <c r="W42" s="29">
        <v>37807</v>
      </c>
      <c r="X42" s="27">
        <v>3733527.97</v>
      </c>
      <c r="Y42" s="13">
        <f>X42/X$68</f>
        <v>3.6119098756664858E-2</v>
      </c>
      <c r="Z42" s="28">
        <v>38171</v>
      </c>
      <c r="AA42" s="27">
        <v>4194587.1299999924</v>
      </c>
      <c r="AB42" s="7"/>
      <c r="AC42" s="28">
        <v>38535</v>
      </c>
      <c r="AD42" s="27">
        <v>4351178.3599999892</v>
      </c>
      <c r="AE42" s="7"/>
      <c r="AF42" s="64">
        <v>38913</v>
      </c>
      <c r="AG42" s="65">
        <v>4105939.0799999898</v>
      </c>
      <c r="AH42" s="7"/>
      <c r="AI42" s="72">
        <v>39277</v>
      </c>
      <c r="AJ42" s="73">
        <v>4276520.0000000065</v>
      </c>
      <c r="AK42" s="39"/>
      <c r="AL42" s="72">
        <v>39641</v>
      </c>
      <c r="AM42" s="73">
        <v>4664236.4199999701</v>
      </c>
      <c r="AN42" s="39"/>
      <c r="AO42" s="72">
        <v>40005</v>
      </c>
      <c r="AP42" s="73">
        <v>4620390.9999999842</v>
      </c>
      <c r="AQ42" s="39"/>
      <c r="AR42" s="72">
        <v>40369</v>
      </c>
      <c r="AS42" s="73">
        <v>4703057.0300000124</v>
      </c>
      <c r="AT42" s="39"/>
      <c r="AU42" s="72">
        <v>40733</v>
      </c>
      <c r="AV42" s="73">
        <v>4663235.0900000194</v>
      </c>
      <c r="AW42" s="73"/>
      <c r="AX42" s="107">
        <v>41097</v>
      </c>
      <c r="AY42" s="108">
        <v>4533140.919999985</v>
      </c>
      <c r="AZ42" s="73"/>
      <c r="BA42" s="107">
        <v>41461</v>
      </c>
      <c r="BB42" s="108">
        <v>4701566.6899999734</v>
      </c>
      <c r="BC42" s="39"/>
      <c r="BD42" s="107">
        <v>41825</v>
      </c>
      <c r="BE42" s="108">
        <v>5045594.6400000099</v>
      </c>
      <c r="BF42" s="39"/>
      <c r="BG42" s="107">
        <v>42189</v>
      </c>
      <c r="BH42" s="108">
        <v>5018390.5200000033</v>
      </c>
      <c r="BI42" s="39"/>
      <c r="BJ42" s="72">
        <v>42553</v>
      </c>
      <c r="BK42" s="39">
        <f>BB42+BE42+BH42</f>
        <v>14765551.849999987</v>
      </c>
    </row>
    <row r="43" spans="1:67" ht="15" x14ac:dyDescent="0.25">
      <c r="A43">
        <v>2</v>
      </c>
      <c r="B43" s="2">
        <v>35273</v>
      </c>
      <c r="C43" s="11">
        <v>3417745.6399999815</v>
      </c>
      <c r="D43" s="13">
        <f t="shared" ref="D43:D67" si="8">C43/C$68</f>
        <v>3.8380655550138816E-2</v>
      </c>
      <c r="E43" s="2">
        <v>35637</v>
      </c>
      <c r="F43" s="11">
        <v>3530639.5800000103</v>
      </c>
      <c r="G43" s="13">
        <f t="shared" ref="G43:G67" si="9">F43/F$68</f>
        <v>4.0466984717516412E-2</v>
      </c>
      <c r="H43" s="2">
        <v>36001</v>
      </c>
      <c r="I43" s="11">
        <v>3504467.8</v>
      </c>
      <c r="J43" s="13">
        <f t="shared" ref="J43:J67" si="10">I43/I$68</f>
        <v>4.00063682549738E-2</v>
      </c>
      <c r="K43" s="2">
        <v>36365</v>
      </c>
      <c r="L43" s="11">
        <v>3527612.9699999802</v>
      </c>
      <c r="M43" s="13">
        <f t="shared" ref="M43:M67" si="11">L43/L$68</f>
        <v>3.9464800688549545E-2</v>
      </c>
      <c r="N43" s="2">
        <v>36729</v>
      </c>
      <c r="O43" s="11">
        <v>3580796.2099999776</v>
      </c>
      <c r="P43" s="13">
        <f t="shared" ref="P43:P67" si="12">O43/O$68</f>
        <v>3.8883316255571163E-2</v>
      </c>
      <c r="Q43" s="8">
        <v>37093</v>
      </c>
      <c r="R43" s="5">
        <v>3781053.6600000099</v>
      </c>
      <c r="S43" s="13">
        <f t="shared" ref="S43:S67" si="13">R43/R$68</f>
        <v>3.8691074749490101E-2</v>
      </c>
      <c r="T43" s="8">
        <v>37457</v>
      </c>
      <c r="U43" s="3">
        <v>4096917.86</v>
      </c>
      <c r="V43" s="13">
        <f t="shared" ref="V43:V67" si="14">U43/U$68</f>
        <v>3.9690161875387493E-2</v>
      </c>
      <c r="W43" s="29">
        <v>37821</v>
      </c>
      <c r="X43" s="27">
        <v>4087915.41</v>
      </c>
      <c r="Y43" s="13">
        <f t="shared" ref="Y43:Y67" si="15">X43/X$68</f>
        <v>3.9547532947150285E-2</v>
      </c>
      <c r="Z43" s="28">
        <v>38185</v>
      </c>
      <c r="AA43" s="27">
        <v>3779617.23</v>
      </c>
      <c r="AB43" s="7"/>
      <c r="AC43" s="28">
        <v>38549</v>
      </c>
      <c r="AD43" s="27">
        <v>3845351.24000001</v>
      </c>
      <c r="AE43" s="7"/>
      <c r="AF43" s="64">
        <v>38927</v>
      </c>
      <c r="AG43" s="65">
        <v>4812899.4899999769</v>
      </c>
      <c r="AH43" s="7"/>
      <c r="AI43" s="72">
        <v>39291</v>
      </c>
      <c r="AJ43" s="73">
        <v>5176431.0400000308</v>
      </c>
      <c r="AK43" s="39"/>
      <c r="AL43" s="72">
        <v>39655</v>
      </c>
      <c r="AM43" s="73">
        <v>5165612.3999999594</v>
      </c>
      <c r="AN43" s="39"/>
      <c r="AO43" s="72">
        <v>40019</v>
      </c>
      <c r="AP43" s="73">
        <v>5221402.2599999597</v>
      </c>
      <c r="AQ43" s="39"/>
      <c r="AR43" s="72">
        <v>40383</v>
      </c>
      <c r="AS43" s="73">
        <v>5273177.609999992</v>
      </c>
      <c r="AT43" s="39"/>
      <c r="AU43" s="72">
        <v>40747</v>
      </c>
      <c r="AV43" s="73">
        <v>5313834.2500000158</v>
      </c>
      <c r="AW43" s="73"/>
      <c r="AX43" s="107">
        <v>41111</v>
      </c>
      <c r="AY43" s="108">
        <v>5188354.8800000036</v>
      </c>
      <c r="AZ43" s="73"/>
      <c r="BA43" s="107">
        <v>41475</v>
      </c>
      <c r="BB43" s="108">
        <v>5310048.5099999709</v>
      </c>
      <c r="BC43" s="39"/>
      <c r="BD43" s="107">
        <v>41839</v>
      </c>
      <c r="BE43" s="108">
        <v>5622713.170000026</v>
      </c>
      <c r="BF43" s="39"/>
      <c r="BG43" s="107">
        <v>42203</v>
      </c>
      <c r="BH43" s="108">
        <v>5581049.6900000311</v>
      </c>
      <c r="BI43" s="39"/>
      <c r="BJ43" s="72">
        <v>42567</v>
      </c>
      <c r="BK43" s="39">
        <f t="shared" ref="BK43:BK67" si="16">BB43+BE43+BH43</f>
        <v>16513811.370000027</v>
      </c>
      <c r="BL43" s="39"/>
      <c r="BM43" s="9"/>
      <c r="BN43" s="9"/>
      <c r="BO43" s="10"/>
    </row>
    <row r="44" spans="1:67" ht="15" x14ac:dyDescent="0.25">
      <c r="A44">
        <v>3</v>
      </c>
      <c r="B44" s="2">
        <v>35287</v>
      </c>
      <c r="C44" s="11">
        <v>3406784.8599999789</v>
      </c>
      <c r="D44" s="13">
        <f t="shared" si="8"/>
        <v>3.8257568004706102E-2</v>
      </c>
      <c r="E44" s="2">
        <v>35651</v>
      </c>
      <c r="F44" s="11">
        <v>3458831.0999999885</v>
      </c>
      <c r="G44" s="13">
        <f t="shared" si="9"/>
        <v>3.9643940451199948E-2</v>
      </c>
      <c r="H44" s="2">
        <v>36015</v>
      </c>
      <c r="I44" s="11">
        <v>3523589.56</v>
      </c>
      <c r="J44" s="13">
        <f t="shared" si="10"/>
        <v>4.0224658796049181E-2</v>
      </c>
      <c r="K44" s="2">
        <v>36379</v>
      </c>
      <c r="L44" s="11">
        <v>3457919.0199999819</v>
      </c>
      <c r="M44" s="13">
        <f t="shared" si="11"/>
        <v>3.8685106921308492E-2</v>
      </c>
      <c r="N44" s="2">
        <v>36743</v>
      </c>
      <c r="O44" s="11">
        <v>3498093.0199999847</v>
      </c>
      <c r="P44" s="13">
        <f t="shared" si="12"/>
        <v>3.7985255013455871E-2</v>
      </c>
      <c r="Q44" s="8">
        <v>37107</v>
      </c>
      <c r="R44" s="5">
        <v>3781115.6000000187</v>
      </c>
      <c r="S44" s="13">
        <f t="shared" si="13"/>
        <v>3.8691708574181791E-2</v>
      </c>
      <c r="T44" s="8">
        <v>37471</v>
      </c>
      <c r="U44" s="3">
        <v>4039532.89</v>
      </c>
      <c r="V44" s="13">
        <f t="shared" si="14"/>
        <v>3.9134227188301958E-2</v>
      </c>
      <c r="W44" s="29">
        <v>37835</v>
      </c>
      <c r="X44" s="27">
        <v>4093561.36</v>
      </c>
      <c r="Y44" s="13">
        <f t="shared" si="15"/>
        <v>3.9602153302820249E-2</v>
      </c>
      <c r="Z44" s="28">
        <v>38199</v>
      </c>
      <c r="AA44" s="27">
        <v>4457810.6599999731</v>
      </c>
      <c r="AB44" s="7"/>
      <c r="AC44" s="28">
        <v>38563</v>
      </c>
      <c r="AD44" s="27">
        <v>4337300.3200000217</v>
      </c>
      <c r="AE44" s="7"/>
      <c r="AF44" s="64">
        <v>38941</v>
      </c>
      <c r="AG44" s="65">
        <v>4723370.2200000016</v>
      </c>
      <c r="AH44" s="7"/>
      <c r="AI44" s="72">
        <v>39305</v>
      </c>
      <c r="AJ44" s="73">
        <v>4964404.1199999964</v>
      </c>
      <c r="AK44" s="39"/>
      <c r="AL44" s="72">
        <v>39669</v>
      </c>
      <c r="AM44" s="73">
        <v>5186174.2499999404</v>
      </c>
      <c r="AN44" s="39"/>
      <c r="AO44" s="72">
        <v>40033</v>
      </c>
      <c r="AP44" s="73">
        <v>5134331.9799999828</v>
      </c>
      <c r="AQ44" s="39"/>
      <c r="AR44" s="72">
        <v>40397</v>
      </c>
      <c r="AS44" s="73">
        <v>5212425.0100000072</v>
      </c>
      <c r="AT44" s="39"/>
      <c r="AU44" s="72">
        <v>40761</v>
      </c>
      <c r="AV44" s="73">
        <v>5194780.1600000411</v>
      </c>
      <c r="AW44" s="73"/>
      <c r="AX44" s="107">
        <v>41125</v>
      </c>
      <c r="AY44" s="108">
        <v>5197771.2299999977</v>
      </c>
      <c r="AZ44" s="73"/>
      <c r="BA44" s="107">
        <v>41489</v>
      </c>
      <c r="BB44" s="108">
        <v>5271590.0799999749</v>
      </c>
      <c r="BC44" s="39"/>
      <c r="BD44" s="107">
        <v>41853</v>
      </c>
      <c r="BE44" s="108">
        <v>5613526.6600000309</v>
      </c>
      <c r="BF44" s="39"/>
      <c r="BG44" s="107">
        <v>42217</v>
      </c>
      <c r="BH44" s="108">
        <v>5631133.8799999999</v>
      </c>
      <c r="BI44" s="39"/>
      <c r="BJ44" s="72">
        <v>42581</v>
      </c>
      <c r="BK44" s="39">
        <f t="shared" si="16"/>
        <v>16516250.620000005</v>
      </c>
      <c r="BL44" s="39">
        <f>SUM(BK42:BK44)</f>
        <v>47795613.840000018</v>
      </c>
      <c r="BM44" s="9">
        <f>ROUND((BL44/$BK$68),6)</f>
        <v>0.125472</v>
      </c>
      <c r="BN44" s="9">
        <f>ROUND((BL44/BK$68),5)</f>
        <v>0.12547</v>
      </c>
      <c r="BO44" s="10">
        <f>BN6</f>
        <v>0.12408</v>
      </c>
    </row>
    <row r="45" spans="1:67" ht="15" x14ac:dyDescent="0.25">
      <c r="A45">
        <v>4</v>
      </c>
      <c r="B45" s="2">
        <v>35301</v>
      </c>
      <c r="C45" s="11">
        <v>3342015.6499999785</v>
      </c>
      <c r="D45" s="13">
        <f t="shared" si="8"/>
        <v>3.7530221677299296E-2</v>
      </c>
      <c r="E45" s="2">
        <v>35665</v>
      </c>
      <c r="F45" s="11">
        <v>3429138.32</v>
      </c>
      <c r="G45" s="13">
        <f t="shared" si="9"/>
        <v>3.9303611950583038E-2</v>
      </c>
      <c r="H45" s="2">
        <v>36029</v>
      </c>
      <c r="I45" s="11">
        <v>3394479.5200000149</v>
      </c>
      <c r="J45" s="13">
        <f t="shared" si="10"/>
        <v>3.8750762016157576E-2</v>
      </c>
      <c r="K45" s="2">
        <v>36393</v>
      </c>
      <c r="L45" s="11">
        <v>3402465.9599999823</v>
      </c>
      <c r="M45" s="13">
        <f t="shared" si="11"/>
        <v>3.8064731619629588E-2</v>
      </c>
      <c r="N45" s="2">
        <v>36757</v>
      </c>
      <c r="O45" s="11">
        <v>3444383.0299999816</v>
      </c>
      <c r="P45" s="13">
        <f t="shared" si="12"/>
        <v>3.7402026478578231E-2</v>
      </c>
      <c r="Q45" s="8">
        <v>37121</v>
      </c>
      <c r="R45" s="5">
        <v>3746745.3500000173</v>
      </c>
      <c r="S45" s="13">
        <f t="shared" si="13"/>
        <v>3.8340001872429058E-2</v>
      </c>
      <c r="T45" s="8">
        <v>37485</v>
      </c>
      <c r="U45" s="3">
        <v>4234843.99</v>
      </c>
      <c r="V45" s="13">
        <f t="shared" si="14"/>
        <v>4.1026364018953473E-2</v>
      </c>
      <c r="W45" s="29">
        <v>37849</v>
      </c>
      <c r="X45" s="27">
        <v>4049588.48</v>
      </c>
      <c r="Y45" s="13">
        <f t="shared" si="15"/>
        <v>3.9176748482474155E-2</v>
      </c>
      <c r="Z45" s="28">
        <v>38213</v>
      </c>
      <c r="AA45" s="27">
        <v>4211106.3599999947</v>
      </c>
      <c r="AB45" s="7"/>
      <c r="AC45" s="28">
        <v>38577</v>
      </c>
      <c r="AD45" s="27">
        <v>4249324.0599999996</v>
      </c>
      <c r="AE45" s="7"/>
      <c r="AF45" s="64">
        <v>38955</v>
      </c>
      <c r="AG45" s="65">
        <v>4747241.6600000225</v>
      </c>
      <c r="AH45" s="7"/>
      <c r="AI45" s="72">
        <v>39319</v>
      </c>
      <c r="AJ45" s="73">
        <v>4966921.0100000082</v>
      </c>
      <c r="AK45" s="39"/>
      <c r="AL45" s="72">
        <v>39683</v>
      </c>
      <c r="AM45" s="73">
        <v>5208951.1299999794</v>
      </c>
      <c r="AN45" s="39"/>
      <c r="AO45" s="72">
        <v>40047</v>
      </c>
      <c r="AP45" s="73">
        <v>5196488.1499999883</v>
      </c>
      <c r="AQ45" s="39"/>
      <c r="AR45" s="72">
        <v>40411</v>
      </c>
      <c r="AS45" s="73">
        <v>5229729.3299999954</v>
      </c>
      <c r="AT45" s="39"/>
      <c r="AU45" s="72">
        <v>40775</v>
      </c>
      <c r="AV45" s="73">
        <v>5195708.860000019</v>
      </c>
      <c r="AW45" s="73"/>
      <c r="AX45" s="107">
        <v>41139</v>
      </c>
      <c r="AY45" s="108">
        <v>5226794.610000018</v>
      </c>
      <c r="AZ45" s="73"/>
      <c r="BA45" s="107">
        <v>41503</v>
      </c>
      <c r="BB45" s="108">
        <v>5454477.2299999967</v>
      </c>
      <c r="BC45" s="39"/>
      <c r="BD45" s="107">
        <v>41867</v>
      </c>
      <c r="BE45" s="108">
        <v>5751427.8700000281</v>
      </c>
      <c r="BF45" s="39"/>
      <c r="BG45" s="107">
        <v>42231</v>
      </c>
      <c r="BH45" s="108">
        <v>5661422.3799999971</v>
      </c>
      <c r="BI45" s="39"/>
      <c r="BJ45" s="72">
        <v>42595</v>
      </c>
      <c r="BK45" s="39">
        <f t="shared" si="16"/>
        <v>16867327.480000019</v>
      </c>
      <c r="BL45" s="39"/>
      <c r="BM45" s="9"/>
      <c r="BN45" s="9"/>
      <c r="BO45" s="10"/>
    </row>
    <row r="46" spans="1:67" ht="15" x14ac:dyDescent="0.25">
      <c r="A46">
        <v>5</v>
      </c>
      <c r="B46" s="2">
        <v>35315</v>
      </c>
      <c r="C46" s="11">
        <v>3013152.0599999893</v>
      </c>
      <c r="D46" s="13">
        <f t="shared" si="8"/>
        <v>3.3837143988003575E-2</v>
      </c>
      <c r="E46" s="2">
        <v>35679</v>
      </c>
      <c r="F46" s="11">
        <v>3065061.47</v>
      </c>
      <c r="G46" s="13">
        <f t="shared" si="9"/>
        <v>3.5130687472986984E-2</v>
      </c>
      <c r="H46" s="2">
        <v>36043</v>
      </c>
      <c r="I46" s="11">
        <v>3401361.54</v>
      </c>
      <c r="J46" s="13">
        <f t="shared" si="10"/>
        <v>3.8829325907216154E-2</v>
      </c>
      <c r="K46" s="2">
        <v>36407</v>
      </c>
      <c r="L46" s="11">
        <v>3430767.9399999804</v>
      </c>
      <c r="M46" s="13">
        <f t="shared" si="11"/>
        <v>3.8381357057082621E-2</v>
      </c>
      <c r="N46" s="2">
        <v>36771</v>
      </c>
      <c r="O46" s="11">
        <v>3428723.3099999861</v>
      </c>
      <c r="P46" s="13">
        <f t="shared" si="12"/>
        <v>3.7231979983462692E-2</v>
      </c>
      <c r="Q46" s="8">
        <v>37135</v>
      </c>
      <c r="R46" s="5">
        <v>3713563.470000016</v>
      </c>
      <c r="S46" s="13">
        <f t="shared" si="13"/>
        <v>3.8000455620284979E-2</v>
      </c>
      <c r="T46" s="8">
        <v>37499</v>
      </c>
      <c r="U46" s="3">
        <v>4052688.61</v>
      </c>
      <c r="V46" s="13">
        <f t="shared" si="14"/>
        <v>3.9261677304274566E-2</v>
      </c>
      <c r="W46" s="29">
        <v>37863</v>
      </c>
      <c r="X46" s="27">
        <v>3955510.39</v>
      </c>
      <c r="Y46" s="13">
        <f t="shared" si="15"/>
        <v>3.8266613122339602E-2</v>
      </c>
      <c r="Z46" s="28">
        <v>38227</v>
      </c>
      <c r="AA46" s="27">
        <v>4126535.9399999869</v>
      </c>
      <c r="AB46" s="7"/>
      <c r="AC46" s="28">
        <v>38591</v>
      </c>
      <c r="AD46" s="27">
        <v>4249776.7600000063</v>
      </c>
      <c r="AE46" s="7"/>
      <c r="AF46" s="64">
        <v>38969</v>
      </c>
      <c r="AG46" s="65">
        <v>4249315.4599999897</v>
      </c>
      <c r="AH46" s="7"/>
      <c r="AI46" s="72">
        <v>39333</v>
      </c>
      <c r="AJ46" s="73">
        <v>4547301.0800000047</v>
      </c>
      <c r="AK46" s="39"/>
      <c r="AL46" s="72">
        <v>39697</v>
      </c>
      <c r="AM46" s="73">
        <v>4727912.7699999651</v>
      </c>
      <c r="AN46" s="39"/>
      <c r="AO46" s="72">
        <v>40061</v>
      </c>
      <c r="AP46" s="73">
        <v>5239631.3699999927</v>
      </c>
      <c r="AQ46" s="39"/>
      <c r="AR46" s="72">
        <v>40425</v>
      </c>
      <c r="AS46" s="73">
        <v>5252099.8299999852</v>
      </c>
      <c r="AT46" s="39"/>
      <c r="AU46" s="72">
        <v>40789</v>
      </c>
      <c r="AV46" s="73">
        <v>5216554.870000002</v>
      </c>
      <c r="AW46" s="73"/>
      <c r="AX46" s="107">
        <v>41153</v>
      </c>
      <c r="AY46" s="108">
        <v>5342929.0000000251</v>
      </c>
      <c r="AZ46" s="73"/>
      <c r="BA46" s="107">
        <v>41517</v>
      </c>
      <c r="BB46" s="108">
        <v>5599991.8500000052</v>
      </c>
      <c r="BC46" s="39"/>
      <c r="BD46" s="107">
        <v>41881</v>
      </c>
      <c r="BE46" s="108">
        <v>5751534.3700000364</v>
      </c>
      <c r="BF46" s="39"/>
      <c r="BG46" s="107">
        <v>42245</v>
      </c>
      <c r="BH46" s="108">
        <v>5765135.700000003</v>
      </c>
      <c r="BI46" s="39"/>
      <c r="BJ46" s="72">
        <v>42609</v>
      </c>
      <c r="BK46" s="39">
        <f t="shared" si="16"/>
        <v>17116661.920000046</v>
      </c>
      <c r="BL46" s="39">
        <f>SUM(BK45:BK46)</f>
        <v>33983989.400000066</v>
      </c>
      <c r="BM46" s="9">
        <f>ROUND((BL46/$BK$68),6)</f>
        <v>8.9214000000000002E-2</v>
      </c>
      <c r="BN46" s="9">
        <f>ROUND((BL46/BK$68),5)-0.00001</f>
        <v>8.9200000000000002E-2</v>
      </c>
      <c r="BO46" s="10">
        <f>BN8</f>
        <v>8.3500000000000005E-2</v>
      </c>
    </row>
    <row r="47" spans="1:67" ht="15" x14ac:dyDescent="0.25">
      <c r="A47">
        <v>6</v>
      </c>
      <c r="B47" s="2">
        <v>35329</v>
      </c>
      <c r="C47" s="11">
        <v>3491086.2099999841</v>
      </c>
      <c r="D47" s="13">
        <f t="shared" si="8"/>
        <v>3.9204256675417687E-2</v>
      </c>
      <c r="E47" s="2">
        <v>35693</v>
      </c>
      <c r="F47" s="11">
        <v>3531822.05</v>
      </c>
      <c r="G47" s="13">
        <f t="shared" si="9"/>
        <v>4.0480537784697089E-2</v>
      </c>
      <c r="H47" s="2">
        <v>36057</v>
      </c>
      <c r="I47" s="11">
        <v>3194811.4600000088</v>
      </c>
      <c r="J47" s="13">
        <f t="shared" si="10"/>
        <v>3.6471387688016665E-2</v>
      </c>
      <c r="K47" s="2">
        <v>36421</v>
      </c>
      <c r="L47" s="11">
        <v>3193690.88</v>
      </c>
      <c r="M47" s="13">
        <f t="shared" si="11"/>
        <v>3.5729082275156476E-2</v>
      </c>
      <c r="N47" s="2">
        <v>36785</v>
      </c>
      <c r="O47" s="11">
        <v>3215408.52</v>
      </c>
      <c r="P47" s="13">
        <f t="shared" si="12"/>
        <v>3.4915627430810649E-2</v>
      </c>
      <c r="Q47" s="8">
        <v>37149</v>
      </c>
      <c r="R47" s="5">
        <v>3542554.6500000237</v>
      </c>
      <c r="S47" s="13">
        <f t="shared" si="13"/>
        <v>3.6250542598039802E-2</v>
      </c>
      <c r="T47" s="8">
        <v>37513</v>
      </c>
      <c r="U47" s="3">
        <v>3840116.8</v>
      </c>
      <c r="V47" s="13">
        <f t="shared" si="14"/>
        <v>3.7202321994416317E-2</v>
      </c>
      <c r="W47" s="29">
        <v>37877</v>
      </c>
      <c r="X47" s="27">
        <v>3765087.49</v>
      </c>
      <c r="Y47" s="13">
        <f t="shared" si="15"/>
        <v>3.6424413576522215E-2</v>
      </c>
      <c r="Z47" s="28">
        <v>38241</v>
      </c>
      <c r="AA47" s="27">
        <v>3730297.96</v>
      </c>
      <c r="AB47" s="7"/>
      <c r="AC47" s="28">
        <v>38605</v>
      </c>
      <c r="AD47" s="27">
        <v>3904159.85</v>
      </c>
      <c r="AE47" s="7"/>
      <c r="AF47" s="64">
        <v>38983</v>
      </c>
      <c r="AG47" s="65">
        <v>4970208.2000000207</v>
      </c>
      <c r="AH47" s="7"/>
      <c r="AI47" s="72">
        <v>39347</v>
      </c>
      <c r="AJ47" s="73">
        <v>5290605.6300000101</v>
      </c>
      <c r="AK47" s="39"/>
      <c r="AL47" s="72">
        <v>39711</v>
      </c>
      <c r="AM47" s="73">
        <v>5362197.4499999797</v>
      </c>
      <c r="AN47" s="39"/>
      <c r="AO47" s="72">
        <v>40075</v>
      </c>
      <c r="AP47" s="73">
        <v>4815867.529999977</v>
      </c>
      <c r="AQ47" s="39"/>
      <c r="AR47" s="72">
        <v>40439</v>
      </c>
      <c r="AS47" s="73">
        <v>4835462.6899999967</v>
      </c>
      <c r="AT47" s="39"/>
      <c r="AU47" s="72">
        <v>40803</v>
      </c>
      <c r="AV47" s="73">
        <v>4863748.349999995</v>
      </c>
      <c r="AW47" s="73"/>
      <c r="AX47" s="107">
        <v>41167</v>
      </c>
      <c r="AY47" s="108">
        <v>4930156.1300000129</v>
      </c>
      <c r="AZ47" s="73"/>
      <c r="BA47" s="107">
        <v>41531</v>
      </c>
      <c r="BB47" s="108">
        <v>5172073.5700000115</v>
      </c>
      <c r="BC47" s="39"/>
      <c r="BD47" s="107">
        <v>41895</v>
      </c>
      <c r="BE47" s="108">
        <v>5366403.8100000191</v>
      </c>
      <c r="BF47" s="39"/>
      <c r="BG47" s="107">
        <v>42259</v>
      </c>
      <c r="BH47" s="108">
        <v>5213046.5600000136</v>
      </c>
      <c r="BI47" s="39"/>
      <c r="BJ47" s="72">
        <v>42623</v>
      </c>
      <c r="BK47" s="39">
        <f t="shared" si="16"/>
        <v>15751523.940000044</v>
      </c>
      <c r="BL47" s="39"/>
      <c r="BM47" s="9"/>
      <c r="BN47" s="9"/>
      <c r="BO47" s="10"/>
    </row>
    <row r="48" spans="1:67" ht="15" x14ac:dyDescent="0.25">
      <c r="A48">
        <v>7</v>
      </c>
      <c r="B48" s="2">
        <v>35343</v>
      </c>
      <c r="C48" s="11">
        <v>3485019.3899999717</v>
      </c>
      <c r="D48" s="13">
        <f t="shared" si="8"/>
        <v>3.9136127401553651E-2</v>
      </c>
      <c r="E48" s="2">
        <v>35707</v>
      </c>
      <c r="F48" s="11">
        <v>3581801.43</v>
      </c>
      <c r="G48" s="13">
        <f t="shared" si="9"/>
        <v>4.1053384364140619E-2</v>
      </c>
      <c r="H48" s="2">
        <v>36071</v>
      </c>
      <c r="I48" s="11">
        <v>3622531.4800000088</v>
      </c>
      <c r="J48" s="13">
        <f t="shared" si="10"/>
        <v>4.13541617943003E-2</v>
      </c>
      <c r="K48" s="2">
        <v>36435</v>
      </c>
      <c r="L48" s="11">
        <v>3607166.5199999823</v>
      </c>
      <c r="M48" s="13">
        <f t="shared" si="11"/>
        <v>4.0354797698288584E-2</v>
      </c>
      <c r="N48" s="2">
        <v>36799</v>
      </c>
      <c r="O48" s="11">
        <v>3684282.51</v>
      </c>
      <c r="P48" s="13">
        <f t="shared" si="12"/>
        <v>4.0007058098176555E-2</v>
      </c>
      <c r="Q48" s="8">
        <v>37163</v>
      </c>
      <c r="R48" s="5">
        <v>3942073.5200000168</v>
      </c>
      <c r="S48" s="13">
        <f t="shared" si="13"/>
        <v>4.0338771925893746E-2</v>
      </c>
      <c r="T48" s="8">
        <v>37527</v>
      </c>
      <c r="U48" s="3">
        <v>4261590.16</v>
      </c>
      <c r="V48" s="13">
        <f t="shared" si="14"/>
        <v>4.1285475832546589E-2</v>
      </c>
      <c r="W48" s="29">
        <v>37891</v>
      </c>
      <c r="X48" s="27">
        <v>4272806.0599999996</v>
      </c>
      <c r="Y48" s="13">
        <f t="shared" si="15"/>
        <v>4.1336212100003648E-2</v>
      </c>
      <c r="Z48" s="28">
        <v>38255</v>
      </c>
      <c r="AA48" s="27">
        <v>4317547.1599999787</v>
      </c>
      <c r="AB48" s="7"/>
      <c r="AC48" s="28">
        <v>38619</v>
      </c>
      <c r="AD48" s="27">
        <v>4601470.3600000106</v>
      </c>
      <c r="AE48" s="7"/>
      <c r="AF48" s="64">
        <v>38997</v>
      </c>
      <c r="AG48" s="65">
        <v>4896368.5600000164</v>
      </c>
      <c r="AH48" s="7"/>
      <c r="AI48" s="72">
        <v>39361</v>
      </c>
      <c r="AJ48" s="73">
        <v>5228349.5800000485</v>
      </c>
      <c r="AK48" s="39"/>
      <c r="AL48" s="72">
        <v>39725</v>
      </c>
      <c r="AM48" s="73">
        <v>5295531.9899999788</v>
      </c>
      <c r="AN48" s="39"/>
      <c r="AO48" s="72">
        <v>40089</v>
      </c>
      <c r="AP48" s="73">
        <v>5409747.5599999707</v>
      </c>
      <c r="AQ48" s="39"/>
      <c r="AR48" s="72">
        <v>40453</v>
      </c>
      <c r="AS48" s="73">
        <v>5460646.6600000085</v>
      </c>
      <c r="AT48" s="39"/>
      <c r="AU48" s="72">
        <v>40817</v>
      </c>
      <c r="AV48" s="73">
        <v>5393811.1099999957</v>
      </c>
      <c r="AW48" s="73"/>
      <c r="AX48" s="107">
        <v>41181</v>
      </c>
      <c r="AY48" s="108">
        <v>5447533.5600000275</v>
      </c>
      <c r="AZ48" s="73"/>
      <c r="BA48" s="107">
        <v>41545</v>
      </c>
      <c r="BB48" s="108">
        <v>5619063.2800000235</v>
      </c>
      <c r="BC48" s="39"/>
      <c r="BD48" s="107">
        <v>41909</v>
      </c>
      <c r="BE48" s="108">
        <v>5865550.3399999999</v>
      </c>
      <c r="BF48" s="39"/>
      <c r="BG48" s="107">
        <v>42273</v>
      </c>
      <c r="BH48" s="108">
        <v>5825225.8500000117</v>
      </c>
      <c r="BI48" s="39"/>
      <c r="BJ48" s="72">
        <v>42637</v>
      </c>
      <c r="BK48" s="39">
        <f t="shared" si="16"/>
        <v>17309839.470000036</v>
      </c>
      <c r="BL48" s="39">
        <f>SUM(BK47:BK48)</f>
        <v>33061363.410000078</v>
      </c>
      <c r="BM48" s="9">
        <f>ROUND((BL48/$BK$68),6)</f>
        <v>8.6791999999999994E-2</v>
      </c>
      <c r="BN48" s="9">
        <f>ROUND((BL48/BK$68),5)</f>
        <v>8.6790000000000006E-2</v>
      </c>
      <c r="BO48" s="10">
        <f>BN10</f>
        <v>8.4199999999999997E-2</v>
      </c>
    </row>
    <row r="49" spans="1:67" ht="15" x14ac:dyDescent="0.25">
      <c r="A49">
        <v>8</v>
      </c>
      <c r="B49" s="2">
        <v>35357</v>
      </c>
      <c r="C49" s="11">
        <v>3521055.5299999826</v>
      </c>
      <c r="D49" s="13">
        <f t="shared" si="8"/>
        <v>3.9540806632362945E-2</v>
      </c>
      <c r="E49" s="2">
        <v>35721</v>
      </c>
      <c r="F49" s="11">
        <v>3603634.3</v>
      </c>
      <c r="G49" s="13">
        <f t="shared" si="9"/>
        <v>4.1303625261465381E-2</v>
      </c>
      <c r="H49" s="2">
        <v>36085</v>
      </c>
      <c r="I49" s="11">
        <v>3562537.17</v>
      </c>
      <c r="J49" s="13">
        <f t="shared" si="10"/>
        <v>4.0669277641829725E-2</v>
      </c>
      <c r="K49" s="2">
        <v>36449</v>
      </c>
      <c r="L49" s="11">
        <v>3720378.1799999857</v>
      </c>
      <c r="M49" s="13">
        <f t="shared" si="11"/>
        <v>4.1621341288959189E-2</v>
      </c>
      <c r="N49" s="2">
        <v>36813</v>
      </c>
      <c r="O49" s="11">
        <v>3652604.98</v>
      </c>
      <c r="P49" s="13">
        <f t="shared" si="12"/>
        <v>3.9663076663615848E-2</v>
      </c>
      <c r="Q49" s="8">
        <v>37177</v>
      </c>
      <c r="R49" s="5">
        <v>4003978.7900000075</v>
      </c>
      <c r="S49" s="13">
        <f t="shared" si="13"/>
        <v>4.0972241229515587E-2</v>
      </c>
      <c r="T49" s="8">
        <v>37541</v>
      </c>
      <c r="U49" s="3">
        <v>4266083.45</v>
      </c>
      <c r="V49" s="13">
        <f t="shared" si="14"/>
        <v>4.1329005972409599E-2</v>
      </c>
      <c r="W49" s="29">
        <v>37905</v>
      </c>
      <c r="X49" s="27">
        <v>4227627.7300000004</v>
      </c>
      <c r="Y49" s="13">
        <f t="shared" si="15"/>
        <v>4.0899145449895979E-2</v>
      </c>
      <c r="Z49" s="28">
        <v>38269</v>
      </c>
      <c r="AA49" s="27">
        <v>4611587.1899999725</v>
      </c>
      <c r="AB49" s="7"/>
      <c r="AC49" s="28">
        <v>38633</v>
      </c>
      <c r="AD49" s="27">
        <v>4527507.4600000186</v>
      </c>
      <c r="AE49" s="7"/>
      <c r="AF49" s="64">
        <v>39011</v>
      </c>
      <c r="AG49" s="65">
        <v>4955974.8899999801</v>
      </c>
      <c r="AH49" s="7"/>
      <c r="AI49" s="72">
        <v>39375</v>
      </c>
      <c r="AJ49" s="73">
        <v>5257995.2800000105</v>
      </c>
      <c r="AK49" s="39"/>
      <c r="AL49" s="72">
        <v>39739</v>
      </c>
      <c r="AM49" s="73">
        <v>5350163.7599999923</v>
      </c>
      <c r="AN49" s="39"/>
      <c r="AO49" s="72">
        <v>40103</v>
      </c>
      <c r="AP49" s="73">
        <v>5748008.679999996</v>
      </c>
      <c r="AQ49" s="39"/>
      <c r="AR49" s="72">
        <v>40467</v>
      </c>
      <c r="AS49" s="73">
        <v>5485071.9400000311</v>
      </c>
      <c r="AT49" s="39"/>
      <c r="AU49" s="72">
        <v>40831</v>
      </c>
      <c r="AV49" s="73">
        <v>5596522.7400000105</v>
      </c>
      <c r="AW49" s="73"/>
      <c r="AX49" s="107">
        <v>41195</v>
      </c>
      <c r="AY49" s="108">
        <v>5679881.9100000188</v>
      </c>
      <c r="AZ49" s="73"/>
      <c r="BA49" s="107">
        <v>41559</v>
      </c>
      <c r="BB49" s="108">
        <v>5732204.3699999992</v>
      </c>
      <c r="BC49" s="39"/>
      <c r="BD49" s="107">
        <v>41923</v>
      </c>
      <c r="BE49" s="108">
        <v>5886001.5100000566</v>
      </c>
      <c r="BF49" s="39"/>
      <c r="BG49" s="107">
        <v>42287</v>
      </c>
      <c r="BH49" s="108">
        <v>5826040.1600000178</v>
      </c>
      <c r="BI49" s="39"/>
      <c r="BJ49" s="72">
        <v>42651</v>
      </c>
      <c r="BK49" s="39">
        <f t="shared" si="16"/>
        <v>17444246.040000074</v>
      </c>
      <c r="BL49" s="39"/>
      <c r="BM49" s="9"/>
      <c r="BN49" s="9"/>
      <c r="BO49" s="10"/>
    </row>
    <row r="50" spans="1:67" ht="15" x14ac:dyDescent="0.25">
      <c r="A50">
        <v>9</v>
      </c>
      <c r="B50" s="2">
        <v>35371</v>
      </c>
      <c r="C50" s="11">
        <v>3476436.8399999849</v>
      </c>
      <c r="D50" s="13">
        <f t="shared" si="8"/>
        <v>3.9039746942037851E-2</v>
      </c>
      <c r="E50" s="2">
        <v>35735</v>
      </c>
      <c r="F50" s="11">
        <v>3618898.6700000083</v>
      </c>
      <c r="G50" s="13">
        <f t="shared" si="9"/>
        <v>4.1478580255742324E-2</v>
      </c>
      <c r="H50" s="2">
        <v>36099</v>
      </c>
      <c r="I50" s="11">
        <v>3659067.04</v>
      </c>
      <c r="J50" s="13">
        <f t="shared" si="10"/>
        <v>4.1771245115129023E-2</v>
      </c>
      <c r="K50" s="2">
        <v>36463</v>
      </c>
      <c r="L50" s="11">
        <v>3686055.9299999853</v>
      </c>
      <c r="M50" s="13">
        <f t="shared" si="11"/>
        <v>4.1237364711326698E-2</v>
      </c>
      <c r="N50" s="2">
        <v>36827</v>
      </c>
      <c r="O50" s="11">
        <v>3678311.1800000062</v>
      </c>
      <c r="P50" s="13">
        <f t="shared" si="12"/>
        <v>3.9942216342533574E-2</v>
      </c>
      <c r="Q50" s="8">
        <v>37191</v>
      </c>
      <c r="R50" s="5">
        <v>4005955.7800000235</v>
      </c>
      <c r="S50" s="13">
        <f t="shared" si="13"/>
        <v>4.0992471534279262E-2</v>
      </c>
      <c r="T50" s="8">
        <v>37555</v>
      </c>
      <c r="U50" s="3">
        <v>4305718.24</v>
      </c>
      <c r="V50" s="13">
        <f t="shared" si="14"/>
        <v>4.1712980287920282E-2</v>
      </c>
      <c r="W50" s="29">
        <v>37919</v>
      </c>
      <c r="X50" s="27">
        <v>4284136.4000000004</v>
      </c>
      <c r="Y50" s="13">
        <f t="shared" si="15"/>
        <v>4.1445824689676197E-2</v>
      </c>
      <c r="Z50" s="28">
        <v>38283</v>
      </c>
      <c r="AA50" s="27">
        <v>4404411.1199999796</v>
      </c>
      <c r="AB50" s="7"/>
      <c r="AC50" s="28">
        <v>38647</v>
      </c>
      <c r="AD50" s="27">
        <v>4569674.7900000252</v>
      </c>
      <c r="AE50" s="7"/>
      <c r="AF50" s="64">
        <v>39025</v>
      </c>
      <c r="AG50" s="65">
        <v>5015427.9300000183</v>
      </c>
      <c r="AH50" s="7"/>
      <c r="AI50" s="72">
        <v>39389</v>
      </c>
      <c r="AJ50" s="73">
        <v>5167523.2000000263</v>
      </c>
      <c r="AK50" s="39"/>
      <c r="AL50" s="72">
        <v>39753</v>
      </c>
      <c r="AM50" s="73">
        <v>5405876.7299999762</v>
      </c>
      <c r="AN50" s="39"/>
      <c r="AO50" s="72">
        <v>40117</v>
      </c>
      <c r="AP50" s="73">
        <v>5457863.8399999449</v>
      </c>
      <c r="AQ50" s="39"/>
      <c r="AR50" s="72">
        <v>40481</v>
      </c>
      <c r="AS50" s="73">
        <v>5510027.3900000229</v>
      </c>
      <c r="AT50" s="39"/>
      <c r="AU50" s="72">
        <v>40845</v>
      </c>
      <c r="AV50" s="73">
        <v>5626482.1600000281</v>
      </c>
      <c r="AW50" s="73"/>
      <c r="AX50" s="107">
        <v>41209</v>
      </c>
      <c r="AY50" s="108">
        <v>5484774.7800000152</v>
      </c>
      <c r="AZ50" s="73"/>
      <c r="BA50" s="107">
        <v>41573</v>
      </c>
      <c r="BB50" s="108">
        <v>5662292.7999999896</v>
      </c>
      <c r="BC50" s="39"/>
      <c r="BD50" s="107">
        <v>41937</v>
      </c>
      <c r="BE50" s="108">
        <v>5922340.7100000121</v>
      </c>
      <c r="BF50" s="39"/>
      <c r="BG50" s="107">
        <v>42301</v>
      </c>
      <c r="BH50" s="108">
        <v>5803945.4600000009</v>
      </c>
      <c r="BI50" s="39"/>
      <c r="BJ50" s="72">
        <v>42665</v>
      </c>
      <c r="BK50" s="39">
        <f t="shared" si="16"/>
        <v>17388578.970000003</v>
      </c>
      <c r="BL50" s="39">
        <f>SUM(BK49:BK50)</f>
        <v>34832825.01000008</v>
      </c>
      <c r="BM50" s="9">
        <f>ROUND((BL50/$BK$68),6)</f>
        <v>9.1442999999999997E-2</v>
      </c>
      <c r="BN50" s="9">
        <f>ROUND((BL50/BK$68),5)</f>
        <v>9.1439999999999994E-2</v>
      </c>
      <c r="BO50" s="10">
        <f>BN12</f>
        <v>8.3699999999999997E-2</v>
      </c>
    </row>
    <row r="51" spans="1:67" ht="15" x14ac:dyDescent="0.25">
      <c r="A51">
        <v>10</v>
      </c>
      <c r="B51" s="2">
        <v>35385</v>
      </c>
      <c r="C51" s="11">
        <v>3209127.5299999877</v>
      </c>
      <c r="D51" s="13">
        <f t="shared" si="8"/>
        <v>3.6037912506969937E-2</v>
      </c>
      <c r="E51" s="2">
        <v>35749</v>
      </c>
      <c r="F51" s="11">
        <v>3260608.43</v>
      </c>
      <c r="G51" s="13">
        <f t="shared" si="9"/>
        <v>3.7371979925125857E-2</v>
      </c>
      <c r="H51" s="2">
        <v>36113</v>
      </c>
      <c r="I51" s="11">
        <v>3222272.82</v>
      </c>
      <c r="J51" s="13">
        <f t="shared" si="10"/>
        <v>3.6784881588842938E-2</v>
      </c>
      <c r="K51" s="2">
        <v>36477</v>
      </c>
      <c r="L51" s="11">
        <v>3298496.14</v>
      </c>
      <c r="M51" s="13">
        <f t="shared" si="11"/>
        <v>3.690158014614929E-2</v>
      </c>
      <c r="N51" s="2">
        <v>36841</v>
      </c>
      <c r="O51" s="11">
        <v>3361541.3500000052</v>
      </c>
      <c r="P51" s="13">
        <f t="shared" si="12"/>
        <v>3.6502461394816617E-2</v>
      </c>
      <c r="Q51" s="8">
        <v>37205</v>
      </c>
      <c r="R51" s="5">
        <v>4048422.0600000191</v>
      </c>
      <c r="S51" s="13">
        <f t="shared" si="13"/>
        <v>4.1427023953144591E-2</v>
      </c>
      <c r="T51" s="8">
        <v>37569</v>
      </c>
      <c r="U51" s="3">
        <v>4292840.33</v>
      </c>
      <c r="V51" s="13">
        <f t="shared" si="14"/>
        <v>4.1588221542447977E-2</v>
      </c>
      <c r="W51" s="29">
        <v>37933</v>
      </c>
      <c r="X51" s="27">
        <v>4222680.5199999996</v>
      </c>
      <c r="Y51" s="13">
        <f t="shared" si="15"/>
        <v>4.0851284882626682E-2</v>
      </c>
      <c r="Z51" s="28">
        <v>38297</v>
      </c>
      <c r="AA51" s="27">
        <v>4479154.2699999735</v>
      </c>
      <c r="AB51" s="7"/>
      <c r="AC51" s="28">
        <v>38661</v>
      </c>
      <c r="AD51" s="27">
        <v>4565788.6600000057</v>
      </c>
      <c r="AE51" s="7"/>
      <c r="AF51" s="64">
        <v>39039</v>
      </c>
      <c r="AG51" s="65">
        <v>4603245.8199999779</v>
      </c>
      <c r="AH51" s="7"/>
      <c r="AI51" s="72">
        <v>39403</v>
      </c>
      <c r="AJ51" s="73">
        <v>4685423.8600000227</v>
      </c>
      <c r="AK51" s="39"/>
      <c r="AL51" s="72">
        <v>39767</v>
      </c>
      <c r="AM51" s="73">
        <v>5047370.1699999757</v>
      </c>
      <c r="AN51" s="39"/>
      <c r="AO51" s="72">
        <v>40131</v>
      </c>
      <c r="AP51" s="73">
        <v>4868310.0599999726</v>
      </c>
      <c r="AQ51" s="39"/>
      <c r="AR51" s="72">
        <v>40495</v>
      </c>
      <c r="AS51" s="73">
        <v>5001875.9300000248</v>
      </c>
      <c r="AT51" s="39"/>
      <c r="AU51" s="72">
        <v>40859</v>
      </c>
      <c r="AV51" s="73">
        <v>5210575.5699999835</v>
      </c>
      <c r="AW51" s="73"/>
      <c r="AX51" s="107">
        <v>41223</v>
      </c>
      <c r="AY51" s="108">
        <v>5546873.1400000202</v>
      </c>
      <c r="AZ51" s="73"/>
      <c r="BA51" s="107">
        <v>41587</v>
      </c>
      <c r="BB51" s="108">
        <v>5821087.3099999968</v>
      </c>
      <c r="BC51" s="39"/>
      <c r="BD51" s="107">
        <v>41951</v>
      </c>
      <c r="BE51" s="108">
        <v>6073198.8300000057</v>
      </c>
      <c r="BF51" s="39"/>
      <c r="BG51" s="107">
        <v>42315</v>
      </c>
      <c r="BH51" s="108">
        <v>5872390.5100000417</v>
      </c>
      <c r="BI51" s="39"/>
      <c r="BJ51" s="72">
        <v>42679</v>
      </c>
      <c r="BK51" s="39">
        <f t="shared" si="16"/>
        <v>17766676.650000043</v>
      </c>
      <c r="BL51" s="39"/>
      <c r="BM51" s="9"/>
      <c r="BN51" s="9"/>
      <c r="BO51" s="10"/>
    </row>
    <row r="52" spans="1:67" ht="15" x14ac:dyDescent="0.25">
      <c r="A52">
        <v>11</v>
      </c>
      <c r="B52" s="2">
        <v>35399</v>
      </c>
      <c r="C52" s="11">
        <v>2770312.4899999779</v>
      </c>
      <c r="D52" s="13">
        <f t="shared" si="8"/>
        <v>3.111010023699046E-2</v>
      </c>
      <c r="E52" s="2">
        <v>35763</v>
      </c>
      <c r="F52" s="11">
        <v>2814945.0400000103</v>
      </c>
      <c r="G52" s="13">
        <f t="shared" si="9"/>
        <v>3.2263938397905999E-2</v>
      </c>
      <c r="H52" s="2">
        <v>36127</v>
      </c>
      <c r="I52" s="11">
        <v>2824185.85</v>
      </c>
      <c r="J52" s="13">
        <f t="shared" si="10"/>
        <v>3.2240393002208843E-2</v>
      </c>
      <c r="K52" s="2">
        <v>36491</v>
      </c>
      <c r="L52" s="11">
        <v>2757467.93</v>
      </c>
      <c r="M52" s="13">
        <f t="shared" si="11"/>
        <v>3.0848883703508408E-2</v>
      </c>
      <c r="N52" s="2">
        <v>36855</v>
      </c>
      <c r="O52" s="11">
        <v>2873827.86</v>
      </c>
      <c r="P52" s="13">
        <f t="shared" si="12"/>
        <v>3.1206455489532586E-2</v>
      </c>
      <c r="Q52" s="8">
        <v>37219</v>
      </c>
      <c r="R52" s="5">
        <v>2668296.2700000214</v>
      </c>
      <c r="S52" s="13">
        <f t="shared" si="13"/>
        <v>2.7304360032900505E-2</v>
      </c>
      <c r="T52" s="8">
        <v>37583</v>
      </c>
      <c r="U52" s="3">
        <v>4018806.84</v>
      </c>
      <c r="V52" s="13">
        <f t="shared" si="14"/>
        <v>3.8933437153537288E-2</v>
      </c>
      <c r="W52" s="29">
        <v>37947</v>
      </c>
      <c r="X52" s="27">
        <v>3705575.47</v>
      </c>
      <c r="Y52" s="13">
        <f t="shared" si="15"/>
        <v>3.5848679165300268E-2</v>
      </c>
      <c r="Z52" s="28">
        <v>38311</v>
      </c>
      <c r="AA52" s="27">
        <v>4003936.019999993</v>
      </c>
      <c r="AB52" s="7"/>
      <c r="AC52" s="28">
        <v>38675</v>
      </c>
      <c r="AD52" s="27">
        <v>4135913.2499999856</v>
      </c>
      <c r="AE52" s="7"/>
      <c r="AF52" s="64">
        <v>39053</v>
      </c>
      <c r="AG52" s="65">
        <v>3992359.1400000011</v>
      </c>
      <c r="AH52" s="7"/>
      <c r="AI52" s="72">
        <v>39417</v>
      </c>
      <c r="AJ52" s="73">
        <v>4044689.030000011</v>
      </c>
      <c r="AK52" s="39"/>
      <c r="AL52" s="72">
        <v>39781</v>
      </c>
      <c r="AM52" s="73">
        <v>4266751.6599999908</v>
      </c>
      <c r="AN52" s="39"/>
      <c r="AO52" s="72">
        <v>40145</v>
      </c>
      <c r="AP52" s="73">
        <v>4272695.489999989</v>
      </c>
      <c r="AQ52" s="39"/>
      <c r="AR52" s="72">
        <v>40509</v>
      </c>
      <c r="AS52" s="73">
        <v>4278979.0200000247</v>
      </c>
      <c r="AT52" s="39"/>
      <c r="AU52" s="72">
        <v>40873</v>
      </c>
      <c r="AV52" s="73">
        <v>4349441.7300000163</v>
      </c>
      <c r="AW52" s="73"/>
      <c r="AX52" s="107">
        <v>41237</v>
      </c>
      <c r="AY52" s="108">
        <v>3661925.0300000012</v>
      </c>
      <c r="AZ52" s="73"/>
      <c r="BA52" s="107">
        <v>41601</v>
      </c>
      <c r="BB52" s="108">
        <v>5236103.3300000066</v>
      </c>
      <c r="BC52" s="39"/>
      <c r="BD52" s="107">
        <v>41965</v>
      </c>
      <c r="BE52" s="108">
        <v>5399085.1400000453</v>
      </c>
      <c r="BF52" s="39"/>
      <c r="BG52" s="107">
        <v>42329</v>
      </c>
      <c r="BH52" s="108">
        <v>5201533.7000000086</v>
      </c>
      <c r="BI52" s="39"/>
      <c r="BJ52" s="72">
        <v>42693</v>
      </c>
      <c r="BK52" s="39">
        <f t="shared" si="16"/>
        <v>15836722.17000006</v>
      </c>
      <c r="BL52" s="39">
        <f>SUM(BK51:BK52)</f>
        <v>33603398.820000105</v>
      </c>
      <c r="BM52" s="9">
        <f>ROUND((BL52/$BK$68),6)</f>
        <v>8.8215000000000002E-2</v>
      </c>
      <c r="BN52" s="9">
        <f>ROUND((BL52/BK$68),5)</f>
        <v>8.8220000000000007E-2</v>
      </c>
      <c r="BO52" s="10">
        <f>BN14</f>
        <v>9.3770000000000006E-2</v>
      </c>
    </row>
    <row r="53" spans="1:67" ht="15" x14ac:dyDescent="0.25">
      <c r="A53">
        <v>12</v>
      </c>
      <c r="B53" s="2">
        <v>35413</v>
      </c>
      <c r="C53" s="11">
        <v>3483477.3299999787</v>
      </c>
      <c r="D53" s="13">
        <f t="shared" si="8"/>
        <v>3.9118810351096565E-2</v>
      </c>
      <c r="E53" s="2">
        <v>35777</v>
      </c>
      <c r="F53" s="11">
        <v>3674764.5899999794</v>
      </c>
      <c r="G53" s="13">
        <f t="shared" si="9"/>
        <v>4.2118896345686802E-2</v>
      </c>
      <c r="H53" s="2">
        <v>36141</v>
      </c>
      <c r="I53" s="11">
        <v>3647186.3599999947</v>
      </c>
      <c r="J53" s="13">
        <f t="shared" si="10"/>
        <v>4.1635617428893837E-2</v>
      </c>
      <c r="K53" s="2">
        <v>36505</v>
      </c>
      <c r="L53" s="11">
        <v>3613168.319999977</v>
      </c>
      <c r="M53" s="13">
        <f t="shared" si="11"/>
        <v>4.0421942207277142E-2</v>
      </c>
      <c r="N53" s="2">
        <v>36869</v>
      </c>
      <c r="O53" s="11">
        <v>3816049.4400000134</v>
      </c>
      <c r="P53" s="13">
        <f t="shared" si="12"/>
        <v>4.1437894959796294E-2</v>
      </c>
      <c r="Q53" s="8">
        <v>37233</v>
      </c>
      <c r="R53" s="5">
        <v>4083879.070000018</v>
      </c>
      <c r="S53" s="13">
        <f t="shared" si="13"/>
        <v>4.1789851341397892E-2</v>
      </c>
      <c r="T53" s="8">
        <v>37597</v>
      </c>
      <c r="U53" s="3">
        <v>3391951.78</v>
      </c>
      <c r="V53" s="13">
        <f t="shared" si="14"/>
        <v>3.2860584425216846E-2</v>
      </c>
      <c r="W53" s="29">
        <v>37961</v>
      </c>
      <c r="X53" s="27">
        <v>3268539.06</v>
      </c>
      <c r="Y53" s="13">
        <f t="shared" si="15"/>
        <v>3.1620677827185667E-2</v>
      </c>
      <c r="Z53" s="28">
        <v>38325</v>
      </c>
      <c r="AA53" s="27">
        <v>3430954.09</v>
      </c>
      <c r="AB53" s="7"/>
      <c r="AC53" s="28">
        <v>38689</v>
      </c>
      <c r="AD53" s="27">
        <v>3583980.5240000049</v>
      </c>
      <c r="AE53" s="7"/>
      <c r="AF53" s="64">
        <v>39067</v>
      </c>
      <c r="AG53" s="65">
        <v>4947489.1800000053</v>
      </c>
      <c r="AH53" s="7"/>
      <c r="AI53" s="72">
        <v>39431</v>
      </c>
      <c r="AJ53" s="73">
        <v>5281689.2700000294</v>
      </c>
      <c r="AK53" s="39"/>
      <c r="AL53" s="72">
        <v>39795</v>
      </c>
      <c r="AM53" s="73">
        <v>5403573.6499999883</v>
      </c>
      <c r="AN53" s="39"/>
      <c r="AO53" s="72">
        <v>40159</v>
      </c>
      <c r="AP53" s="73">
        <v>5656046.229999966</v>
      </c>
      <c r="AQ53" s="39"/>
      <c r="AR53" s="72">
        <v>40523</v>
      </c>
      <c r="AS53" s="73">
        <v>5570302.6800000053</v>
      </c>
      <c r="AT53" s="39"/>
      <c r="AU53" s="72">
        <v>40887</v>
      </c>
      <c r="AV53" s="73">
        <v>5670994.2099999841</v>
      </c>
      <c r="AW53" s="73"/>
      <c r="AX53" s="107">
        <v>41251</v>
      </c>
      <c r="AY53" s="108">
        <v>5652594.4000000069</v>
      </c>
      <c r="AZ53" s="73"/>
      <c r="BA53" s="107">
        <v>41615</v>
      </c>
      <c r="BB53" s="108">
        <v>4466892.7800000114</v>
      </c>
      <c r="BC53" s="39"/>
      <c r="BD53" s="107">
        <v>41979</v>
      </c>
      <c r="BE53" s="108">
        <v>4665500.2400000095</v>
      </c>
      <c r="BF53" s="39"/>
      <c r="BG53" s="107">
        <v>42343</v>
      </c>
      <c r="BH53" s="108">
        <v>4508327.6600000169</v>
      </c>
      <c r="BI53" s="39"/>
      <c r="BJ53" s="72">
        <v>42707</v>
      </c>
      <c r="BK53" s="39">
        <f t="shared" si="16"/>
        <v>13640720.680000039</v>
      </c>
      <c r="BL53" s="37"/>
    </row>
    <row r="54" spans="1:67" ht="15" x14ac:dyDescent="0.25">
      <c r="A54">
        <v>13</v>
      </c>
      <c r="B54" s="2">
        <v>35427</v>
      </c>
      <c r="C54" s="11">
        <v>2431341.4099999936</v>
      </c>
      <c r="D54" s="13">
        <f t="shared" si="8"/>
        <v>2.7303517292175988E-2</v>
      </c>
      <c r="E54" s="2">
        <v>35791</v>
      </c>
      <c r="F54" s="11">
        <v>2596839.2599999998</v>
      </c>
      <c r="G54" s="13">
        <f t="shared" si="9"/>
        <v>2.976408445754361E-2</v>
      </c>
      <c r="H54" s="2">
        <v>36155</v>
      </c>
      <c r="I54" s="11">
        <v>2688004.55</v>
      </c>
      <c r="J54" s="13">
        <f t="shared" si="10"/>
        <v>3.0685772001770178E-2</v>
      </c>
      <c r="K54" s="2">
        <v>36519</v>
      </c>
      <c r="L54" s="11">
        <v>3068416.6399999885</v>
      </c>
      <c r="M54" s="13">
        <f t="shared" si="11"/>
        <v>3.4327589833934954E-2</v>
      </c>
      <c r="N54" s="2">
        <v>36883</v>
      </c>
      <c r="O54" s="11">
        <v>3565342.3799999924</v>
      </c>
      <c r="P54" s="13">
        <f t="shared" si="12"/>
        <v>3.8715505488353764E-2</v>
      </c>
      <c r="Q54" s="8">
        <v>37247</v>
      </c>
      <c r="R54" s="5">
        <v>3984875.8300000355</v>
      </c>
      <c r="S54" s="13">
        <f t="shared" si="13"/>
        <v>4.077676289999211E-2</v>
      </c>
      <c r="T54" s="8">
        <v>37611</v>
      </c>
      <c r="U54" s="3">
        <v>4463732.67</v>
      </c>
      <c r="V54" s="13">
        <f t="shared" si="14"/>
        <v>4.3243794065413753E-2</v>
      </c>
      <c r="W54" s="29">
        <v>37975</v>
      </c>
      <c r="X54" s="27">
        <v>4208804.49</v>
      </c>
      <c r="Y54" s="13">
        <f t="shared" si="15"/>
        <v>4.0717044640703325E-2</v>
      </c>
      <c r="Z54" s="28">
        <v>38339</v>
      </c>
      <c r="AA54" s="27">
        <v>4424790.7999999821</v>
      </c>
      <c r="AB54" s="7"/>
      <c r="AC54" s="28">
        <v>38703</v>
      </c>
      <c r="AD54" s="27">
        <v>4794831.2500000075</v>
      </c>
      <c r="AE54" s="7"/>
      <c r="AF54" s="64">
        <v>39081</v>
      </c>
      <c r="AG54" s="65">
        <v>3278844.3700000057</v>
      </c>
      <c r="AH54" s="7"/>
      <c r="AI54" s="72">
        <v>39445</v>
      </c>
      <c r="AJ54" s="73">
        <v>3540761.3400000054</v>
      </c>
      <c r="AK54" s="39"/>
      <c r="AL54" s="72">
        <v>39809</v>
      </c>
      <c r="AM54" s="73">
        <v>3966880.6999999783</v>
      </c>
      <c r="AN54" s="39"/>
      <c r="AO54" s="72">
        <v>40173</v>
      </c>
      <c r="AP54" s="73">
        <v>4211035.5699999919</v>
      </c>
      <c r="AQ54" s="39"/>
      <c r="AR54" s="72">
        <v>40537</v>
      </c>
      <c r="AS54" s="73">
        <v>4159511.3000000296</v>
      </c>
      <c r="AT54" s="39"/>
      <c r="AU54" s="72">
        <v>40901</v>
      </c>
      <c r="AV54" s="73">
        <v>4769647.9100000076</v>
      </c>
      <c r="AW54" s="73"/>
      <c r="AX54" s="107">
        <v>41265</v>
      </c>
      <c r="AY54" s="108">
        <v>5574858.4500000142</v>
      </c>
      <c r="AZ54" s="73"/>
      <c r="BA54" s="107">
        <v>41629</v>
      </c>
      <c r="BB54" s="108">
        <v>5776682.3599999929</v>
      </c>
      <c r="BC54" s="39"/>
      <c r="BD54" s="107">
        <v>41993</v>
      </c>
      <c r="BE54" s="108">
        <v>5958702.6000000294</v>
      </c>
      <c r="BF54" s="39"/>
      <c r="BG54" s="107">
        <v>42357</v>
      </c>
      <c r="BH54" s="108">
        <v>5893340.8300000131</v>
      </c>
      <c r="BI54" s="39"/>
      <c r="BJ54" s="72">
        <v>42721</v>
      </c>
      <c r="BK54" s="39">
        <f t="shared" si="16"/>
        <v>17628725.790000036</v>
      </c>
      <c r="BL54" s="39"/>
      <c r="BM54" s="9"/>
      <c r="BN54" s="9"/>
      <c r="BO54" s="10"/>
    </row>
    <row r="55" spans="1:67" ht="15" x14ac:dyDescent="0.25">
      <c r="A55">
        <v>14</v>
      </c>
      <c r="B55" s="2">
        <v>35441</v>
      </c>
      <c r="C55" s="11">
        <v>2575565.0299999998</v>
      </c>
      <c r="D55" s="13">
        <f t="shared" si="8"/>
        <v>2.8923122044686004E-2</v>
      </c>
      <c r="E55" s="2">
        <v>35805</v>
      </c>
      <c r="F55" s="11">
        <v>2588777.77</v>
      </c>
      <c r="G55" s="13">
        <f t="shared" si="9"/>
        <v>2.9671686413155745E-2</v>
      </c>
      <c r="H55" s="2">
        <v>36169</v>
      </c>
      <c r="I55" s="11">
        <v>2544771.4</v>
      </c>
      <c r="J55" s="13">
        <f t="shared" si="10"/>
        <v>2.9050648361821228E-2</v>
      </c>
      <c r="K55" s="2">
        <v>36533</v>
      </c>
      <c r="L55" s="11">
        <v>2824223.22</v>
      </c>
      <c r="M55" s="13">
        <f t="shared" si="11"/>
        <v>3.1595701519737361E-2</v>
      </c>
      <c r="N55" s="2">
        <v>36897</v>
      </c>
      <c r="O55" s="11">
        <v>2542756.9699999834</v>
      </c>
      <c r="P55" s="13">
        <f t="shared" si="12"/>
        <v>2.761140752703373E-2</v>
      </c>
      <c r="Q55" s="8">
        <v>37261</v>
      </c>
      <c r="R55" s="5">
        <v>1737382.12</v>
      </c>
      <c r="S55" s="13">
        <f t="shared" si="13"/>
        <v>1.7778425676547371E-2</v>
      </c>
      <c r="T55" s="8">
        <v>37625</v>
      </c>
      <c r="U55" s="3">
        <v>1759406</v>
      </c>
      <c r="V55" s="13">
        <f t="shared" si="14"/>
        <v>1.7044791067528996E-2</v>
      </c>
      <c r="W55" s="29">
        <v>37989</v>
      </c>
      <c r="X55" s="27">
        <v>1861100.1</v>
      </c>
      <c r="Y55" s="13">
        <f t="shared" si="15"/>
        <v>1.8004755514912839E-2</v>
      </c>
      <c r="Z55" s="28">
        <v>38353</v>
      </c>
      <c r="AA55" s="27">
        <v>2695292.2</v>
      </c>
      <c r="AB55" s="7"/>
      <c r="AC55" s="28">
        <v>38717</v>
      </c>
      <c r="AD55" s="27">
        <v>2523194.5699999998</v>
      </c>
      <c r="AE55" s="7"/>
      <c r="AF55" s="64">
        <v>39095</v>
      </c>
      <c r="AG55" s="65">
        <v>3744016.2900000103</v>
      </c>
      <c r="AH55" s="7"/>
      <c r="AI55" s="72">
        <v>39459</v>
      </c>
      <c r="AJ55" s="73">
        <v>3907794.9400000144</v>
      </c>
      <c r="AK55" s="39"/>
      <c r="AL55" s="72">
        <v>39823</v>
      </c>
      <c r="AM55" s="73">
        <v>3781969.8399999882</v>
      </c>
      <c r="AN55" s="39"/>
      <c r="AO55" s="72">
        <v>40187</v>
      </c>
      <c r="AP55" s="73">
        <v>4078997.1999999913</v>
      </c>
      <c r="AQ55" s="39"/>
      <c r="AR55" s="72">
        <v>40551</v>
      </c>
      <c r="AS55" s="73">
        <v>3875997.110000019</v>
      </c>
      <c r="AT55" s="39"/>
      <c r="AU55" s="72">
        <v>40915</v>
      </c>
      <c r="AV55" s="73">
        <v>3294941.8900000183</v>
      </c>
      <c r="AW55" s="73"/>
      <c r="AX55" s="107">
        <v>41279</v>
      </c>
      <c r="AY55" s="108">
        <v>2465467.8199999891</v>
      </c>
      <c r="AZ55" s="73"/>
      <c r="BA55" s="107">
        <v>41643</v>
      </c>
      <c r="BB55" s="108">
        <v>2500633.950000002</v>
      </c>
      <c r="BC55" s="39"/>
      <c r="BD55" s="107">
        <v>42007</v>
      </c>
      <c r="BE55" s="108">
        <v>2572088.3400000045</v>
      </c>
      <c r="BF55" s="39"/>
      <c r="BG55" s="107">
        <v>42371</v>
      </c>
      <c r="BH55" s="108">
        <v>2668422.4199999976</v>
      </c>
      <c r="BI55" s="39"/>
      <c r="BJ55" s="72">
        <v>42735</v>
      </c>
      <c r="BK55" s="39">
        <f t="shared" si="16"/>
        <v>7741144.7100000046</v>
      </c>
      <c r="BL55" s="39">
        <f>SUM(BK53:BK55)</f>
        <v>39010591.180000082</v>
      </c>
      <c r="BM55" s="9">
        <f>ROUND((BL55/$BK$68),6)</f>
        <v>0.10241</v>
      </c>
      <c r="BN55" s="9">
        <f>ROUND((BL55/BK$68),5)</f>
        <v>0.10241</v>
      </c>
      <c r="BO55" s="10">
        <f>BN17</f>
        <v>0.12695999999999999</v>
      </c>
    </row>
    <row r="56" spans="1:67" ht="15" x14ac:dyDescent="0.25">
      <c r="A56">
        <v>15</v>
      </c>
      <c r="B56" s="2">
        <v>35455</v>
      </c>
      <c r="C56" s="11">
        <v>5536013.070000004</v>
      </c>
      <c r="D56" s="13">
        <f t="shared" si="8"/>
        <v>6.216840957208794E-2</v>
      </c>
      <c r="E56" s="2">
        <v>35819</v>
      </c>
      <c r="F56" s="11">
        <v>3302109.450000009</v>
      </c>
      <c r="G56" s="13">
        <f t="shared" si="9"/>
        <v>3.7847650438654089E-2</v>
      </c>
      <c r="H56" s="2">
        <v>36183</v>
      </c>
      <c r="I56" s="11">
        <v>3416116.37</v>
      </c>
      <c r="J56" s="13">
        <f t="shared" si="10"/>
        <v>3.8997764368120129E-2</v>
      </c>
      <c r="K56" s="2">
        <v>36547</v>
      </c>
      <c r="L56" s="11">
        <v>3338612.6399999899</v>
      </c>
      <c r="M56" s="13">
        <f t="shared" si="11"/>
        <v>3.735037928888002E-2</v>
      </c>
      <c r="N56" s="2">
        <v>36911</v>
      </c>
      <c r="O56" s="11">
        <v>3681646.8399999724</v>
      </c>
      <c r="P56" s="13">
        <f t="shared" si="12"/>
        <v>3.9978437762322148E-2</v>
      </c>
      <c r="Q56" s="8">
        <v>37275</v>
      </c>
      <c r="R56" s="5">
        <v>4060704.1800000239</v>
      </c>
      <c r="S56" s="13">
        <f t="shared" si="13"/>
        <v>4.1552705433952349E-2</v>
      </c>
      <c r="T56" s="8">
        <v>37639</v>
      </c>
      <c r="U56" s="3">
        <v>4258330.21</v>
      </c>
      <c r="V56" s="13">
        <f t="shared" si="14"/>
        <v>4.1253894056287675E-2</v>
      </c>
      <c r="W56" s="29">
        <v>38003</v>
      </c>
      <c r="X56" s="27">
        <v>4353730.08</v>
      </c>
      <c r="Y56" s="13">
        <f t="shared" si="15"/>
        <v>4.2119091642798749E-2</v>
      </c>
      <c r="Z56" s="28">
        <v>38367</v>
      </c>
      <c r="AA56" s="27">
        <v>4470652.8999999873</v>
      </c>
      <c r="AB56" s="7"/>
      <c r="AC56" s="28">
        <v>38731</v>
      </c>
      <c r="AD56" s="27">
        <v>4097963.8</v>
      </c>
      <c r="AE56" s="7"/>
      <c r="AF56" s="64">
        <v>39109</v>
      </c>
      <c r="AG56" s="65">
        <v>4472837.8299999936</v>
      </c>
      <c r="AH56" s="7"/>
      <c r="AI56" s="72">
        <v>39473</v>
      </c>
      <c r="AJ56" s="73">
        <v>4762293.1200000104</v>
      </c>
      <c r="AK56" s="39"/>
      <c r="AL56" s="72">
        <v>39837</v>
      </c>
      <c r="AM56" s="73">
        <v>5008236.019999967</v>
      </c>
      <c r="AN56" s="39"/>
      <c r="AO56" s="72">
        <v>40201</v>
      </c>
      <c r="AP56" s="73">
        <v>5197654.3799999896</v>
      </c>
      <c r="AQ56" s="39"/>
      <c r="AR56" s="72">
        <v>40565</v>
      </c>
      <c r="AS56" s="73">
        <v>5079051.3400000138</v>
      </c>
      <c r="AT56" s="39"/>
      <c r="AU56" s="72">
        <v>40929</v>
      </c>
      <c r="AV56" s="73">
        <v>5011884.2499999944</v>
      </c>
      <c r="AW56" s="73"/>
      <c r="AX56" s="107">
        <v>41293</v>
      </c>
      <c r="AY56" s="108">
        <v>5462613.9000000125</v>
      </c>
      <c r="AZ56" s="73"/>
      <c r="BA56" s="107">
        <v>41657</v>
      </c>
      <c r="BB56" s="108">
        <v>5917196.6600000057</v>
      </c>
      <c r="BC56" s="39"/>
      <c r="BD56" s="107">
        <v>42021</v>
      </c>
      <c r="BE56" s="108">
        <v>5842585.5000000102</v>
      </c>
      <c r="BF56" s="39"/>
      <c r="BG56" s="107">
        <v>42385</v>
      </c>
      <c r="BH56" s="108">
        <v>5711219.040000028</v>
      </c>
      <c r="BI56" s="39"/>
      <c r="BJ56" s="72">
        <v>42749</v>
      </c>
      <c r="BK56" s="39">
        <f t="shared" si="16"/>
        <v>17471001.200000044</v>
      </c>
      <c r="BL56" s="39"/>
      <c r="BM56" s="9"/>
      <c r="BN56" s="9"/>
      <c r="BO56" s="10"/>
    </row>
    <row r="57" spans="1:67" ht="15" x14ac:dyDescent="0.25">
      <c r="A57">
        <v>16</v>
      </c>
      <c r="B57" s="2">
        <v>35469</v>
      </c>
      <c r="C57" s="11">
        <v>3758206.789999994</v>
      </c>
      <c r="D57" s="13">
        <f t="shared" si="8"/>
        <v>4.2203971707263574E-2</v>
      </c>
      <c r="E57" s="2">
        <v>35833</v>
      </c>
      <c r="F57" s="11">
        <v>3615356</v>
      </c>
      <c r="G57" s="13">
        <f t="shared" si="9"/>
        <v>4.1437975382460544E-2</v>
      </c>
      <c r="H57" s="2">
        <v>36197</v>
      </c>
      <c r="I57" s="11">
        <v>3741538.3899999936</v>
      </c>
      <c r="J57" s="13">
        <f t="shared" si="10"/>
        <v>4.271272307608634E-2</v>
      </c>
      <c r="K57" s="2">
        <v>36561</v>
      </c>
      <c r="L57" s="11">
        <v>3848455.9499999797</v>
      </c>
      <c r="M57" s="13">
        <f t="shared" si="11"/>
        <v>4.3054197928468506E-2</v>
      </c>
      <c r="N57" s="2">
        <v>36925</v>
      </c>
      <c r="O57" s="11">
        <v>3899531.1699999734</v>
      </c>
      <c r="P57" s="13">
        <f t="shared" si="12"/>
        <v>4.2344410248235646E-2</v>
      </c>
      <c r="Q57" s="8">
        <v>37289</v>
      </c>
      <c r="R57" s="5">
        <v>3892430.9300000379</v>
      </c>
      <c r="S57" s="13">
        <f t="shared" si="13"/>
        <v>3.9830785175859772E-2</v>
      </c>
      <c r="T57" s="8">
        <v>37653</v>
      </c>
      <c r="U57" s="3">
        <v>4052483.15</v>
      </c>
      <c r="V57" s="13">
        <f t="shared" si="14"/>
        <v>3.9259686846828852E-2</v>
      </c>
      <c r="W57" s="29">
        <v>38017</v>
      </c>
      <c r="X57" s="27">
        <v>3859372.99</v>
      </c>
      <c r="Y57" s="13">
        <f t="shared" si="15"/>
        <v>3.7336555473726621E-2</v>
      </c>
      <c r="Z57" s="28">
        <v>38381</v>
      </c>
      <c r="AA57" s="27">
        <v>4002894.09</v>
      </c>
      <c r="AB57" s="7"/>
      <c r="AC57" s="28">
        <v>38745</v>
      </c>
      <c r="AD57" s="27">
        <v>4309632.58</v>
      </c>
      <c r="AE57" s="7"/>
      <c r="AF57" s="64">
        <v>39123</v>
      </c>
      <c r="AG57" s="65">
        <v>4939451.74</v>
      </c>
      <c r="AH57" s="7"/>
      <c r="AI57" s="72">
        <v>39487</v>
      </c>
      <c r="AJ57" s="73">
        <v>5236293.5700000431</v>
      </c>
      <c r="AK57" s="39"/>
      <c r="AL57" s="72">
        <v>39851</v>
      </c>
      <c r="AM57" s="73">
        <v>5465442.7999999598</v>
      </c>
      <c r="AN57" s="39"/>
      <c r="AO57" s="72">
        <v>40215</v>
      </c>
      <c r="AP57" s="73">
        <v>6003265.6099999761</v>
      </c>
      <c r="AQ57" s="39"/>
      <c r="AR57" s="72">
        <v>40579</v>
      </c>
      <c r="AS57" s="73">
        <v>5756067.5300000021</v>
      </c>
      <c r="AT57" s="39"/>
      <c r="AU57" s="72">
        <v>40943</v>
      </c>
      <c r="AV57" s="73">
        <v>5601621.7399999937</v>
      </c>
      <c r="AW57" s="73"/>
      <c r="AX57" s="107">
        <v>41307</v>
      </c>
      <c r="AY57" s="108">
        <v>4989119.1499999687</v>
      </c>
      <c r="AZ57" s="73"/>
      <c r="BA57" s="107">
        <v>41671</v>
      </c>
      <c r="BB57" s="108">
        <v>5329332.0900000324</v>
      </c>
      <c r="BC57" s="39"/>
      <c r="BD57" s="107">
        <v>42035</v>
      </c>
      <c r="BE57" s="108">
        <v>5683349.2300000452</v>
      </c>
      <c r="BF57" s="39"/>
      <c r="BG57" s="107">
        <v>42399</v>
      </c>
      <c r="BH57" s="108">
        <v>5260921.3400000213</v>
      </c>
      <c r="BI57" s="39"/>
      <c r="BJ57" s="72">
        <v>42763</v>
      </c>
      <c r="BK57" s="39">
        <f t="shared" si="16"/>
        <v>16273602.660000101</v>
      </c>
      <c r="BL57" s="39">
        <f>SUM(BK56:BK57)</f>
        <v>33744603.860000148</v>
      </c>
      <c r="BM57" s="9">
        <f>ROUND((BL57/$BK$68),6)</f>
        <v>8.8585999999999998E-2</v>
      </c>
      <c r="BN57" s="9">
        <f>ROUND((BL57/BK$68),5)</f>
        <v>8.8590000000000002E-2</v>
      </c>
      <c r="BO57" s="10">
        <f>BN19</f>
        <v>8.6709999999999995E-2</v>
      </c>
    </row>
    <row r="58" spans="1:67" ht="15" x14ac:dyDescent="0.25">
      <c r="A58">
        <v>17</v>
      </c>
      <c r="B58" s="2">
        <v>35483</v>
      </c>
      <c r="C58" s="11">
        <v>3370902.77</v>
      </c>
      <c r="D58" s="13">
        <f t="shared" si="8"/>
        <v>3.7854618727091553E-2</v>
      </c>
      <c r="E58" s="2">
        <v>35847</v>
      </c>
      <c r="F58" s="11">
        <v>3347516.020000007</v>
      </c>
      <c r="G58" s="13">
        <f t="shared" si="9"/>
        <v>3.8368085032055646E-2</v>
      </c>
      <c r="H58" s="2">
        <v>36211</v>
      </c>
      <c r="I58" s="11">
        <v>3246779.43</v>
      </c>
      <c r="J58" s="13">
        <f t="shared" si="10"/>
        <v>3.7064644600031407E-2</v>
      </c>
      <c r="K58" s="2">
        <v>36575</v>
      </c>
      <c r="L58" s="11">
        <v>3730225.7399999853</v>
      </c>
      <c r="M58" s="13">
        <f t="shared" si="11"/>
        <v>4.1731509835217971E-2</v>
      </c>
      <c r="N58" s="2">
        <v>36939</v>
      </c>
      <c r="O58" s="11">
        <v>3940619.4499999722</v>
      </c>
      <c r="P58" s="13">
        <f t="shared" si="12"/>
        <v>4.2790581572137214E-2</v>
      </c>
      <c r="Q58" s="8">
        <v>37303</v>
      </c>
      <c r="R58" s="5">
        <v>4253973.6200000327</v>
      </c>
      <c r="S58" s="13">
        <f t="shared" si="13"/>
        <v>4.3530408746904649E-2</v>
      </c>
      <c r="T58" s="8">
        <v>37667</v>
      </c>
      <c r="U58" s="3">
        <v>4225693</v>
      </c>
      <c r="V58" s="13">
        <f t="shared" si="14"/>
        <v>4.0937710966382865E-2</v>
      </c>
      <c r="W58" s="29">
        <v>38031</v>
      </c>
      <c r="X58" s="27">
        <v>4299126.99</v>
      </c>
      <c r="Y58" s="13">
        <f t="shared" si="15"/>
        <v>4.1590847468394171E-2</v>
      </c>
      <c r="Z58" s="28">
        <v>38395</v>
      </c>
      <c r="AA58" s="27">
        <v>4443492.5699999807</v>
      </c>
      <c r="AB58" s="7"/>
      <c r="AC58" s="28">
        <v>38759</v>
      </c>
      <c r="AD58" s="27">
        <v>4707556.1900000079</v>
      </c>
      <c r="AE58" s="7"/>
      <c r="AF58" s="64">
        <v>39137</v>
      </c>
      <c r="AG58" s="65">
        <v>4416205.4899999946</v>
      </c>
      <c r="AH58" s="7"/>
      <c r="AI58" s="72">
        <v>39501</v>
      </c>
      <c r="AJ58" s="73">
        <v>4775435.6100000218</v>
      </c>
      <c r="AK58" s="39"/>
      <c r="AL58" s="72">
        <v>39865</v>
      </c>
      <c r="AM58" s="73">
        <v>4963846.5399999851</v>
      </c>
      <c r="AN58" s="39"/>
      <c r="AO58" s="72">
        <v>40229</v>
      </c>
      <c r="AP58" s="73">
        <v>5271339.3399999933</v>
      </c>
      <c r="AQ58" s="39"/>
      <c r="AR58" s="72">
        <v>40593</v>
      </c>
      <c r="AS58" s="73">
        <v>5669116.6500000115</v>
      </c>
      <c r="AT58" s="39"/>
      <c r="AU58" s="72">
        <v>40957</v>
      </c>
      <c r="AV58" s="73">
        <v>5898906.5200000284</v>
      </c>
      <c r="AW58" s="73"/>
      <c r="AX58" s="107">
        <v>41321</v>
      </c>
      <c r="AY58" s="108">
        <v>5692871.7400000198</v>
      </c>
      <c r="AZ58" s="73"/>
      <c r="BA58" s="107">
        <v>41685</v>
      </c>
      <c r="BB58" s="108">
        <v>6063355.5700000189</v>
      </c>
      <c r="BC58" s="39"/>
      <c r="BD58" s="107">
        <v>42049</v>
      </c>
      <c r="BE58" s="108">
        <v>5972928.4800000312</v>
      </c>
      <c r="BF58" s="39"/>
      <c r="BG58" s="39"/>
      <c r="BH58" s="39"/>
      <c r="BI58" s="39"/>
      <c r="BJ58" s="72">
        <v>42777</v>
      </c>
      <c r="BK58" s="39">
        <f t="shared" si="16"/>
        <v>12036284.050000049</v>
      </c>
      <c r="BL58" s="39"/>
      <c r="BM58" s="9"/>
      <c r="BN58" s="9"/>
      <c r="BO58" s="10"/>
    </row>
    <row r="59" spans="1:67" ht="15" x14ac:dyDescent="0.25">
      <c r="A59">
        <v>18</v>
      </c>
      <c r="B59" s="2">
        <v>35497</v>
      </c>
      <c r="C59" s="11">
        <v>3646939.0600000084</v>
      </c>
      <c r="D59" s="13">
        <f t="shared" si="8"/>
        <v>4.0954455544037538E-2</v>
      </c>
      <c r="E59" s="2">
        <v>35861</v>
      </c>
      <c r="F59" s="11">
        <v>3721897.0000000154</v>
      </c>
      <c r="G59" s="13">
        <f t="shared" si="9"/>
        <v>4.2659111927581789E-2</v>
      </c>
      <c r="H59" s="2">
        <v>36225</v>
      </c>
      <c r="I59" s="11">
        <v>3567651.2500000075</v>
      </c>
      <c r="J59" s="13">
        <f t="shared" si="10"/>
        <v>4.072765905077453E-2</v>
      </c>
      <c r="K59" s="2">
        <v>36589</v>
      </c>
      <c r="L59" s="11">
        <v>3352768.1199999903</v>
      </c>
      <c r="M59" s="13">
        <f t="shared" si="11"/>
        <v>3.7508742239011357E-2</v>
      </c>
      <c r="N59" s="2">
        <v>36953</v>
      </c>
      <c r="O59" s="11">
        <v>3522785.1499999636</v>
      </c>
      <c r="P59" s="13">
        <f t="shared" si="12"/>
        <v>3.8253383061941731E-2</v>
      </c>
      <c r="Q59" s="8">
        <v>37317</v>
      </c>
      <c r="R59" s="5">
        <v>3934492.3000000231</v>
      </c>
      <c r="S59" s="13">
        <f t="shared" si="13"/>
        <v>4.0261194198601698E-2</v>
      </c>
      <c r="T59" s="8">
        <v>37681</v>
      </c>
      <c r="U59" s="3">
        <v>3789178.14</v>
      </c>
      <c r="V59" s="13">
        <f t="shared" si="14"/>
        <v>3.670883793390959E-2</v>
      </c>
      <c r="W59" s="29">
        <v>38045</v>
      </c>
      <c r="X59" s="27">
        <v>3987880.74</v>
      </c>
      <c r="Y59" s="13">
        <f t="shared" si="15"/>
        <v>3.8579772117754277E-2</v>
      </c>
      <c r="Z59" s="28">
        <v>38409</v>
      </c>
      <c r="AA59" s="27">
        <v>4183106.6200000132</v>
      </c>
      <c r="AB59" s="7"/>
      <c r="AC59" s="28">
        <v>38773</v>
      </c>
      <c r="AD59" s="27">
        <v>4160399.76999998</v>
      </c>
      <c r="AE59" s="7"/>
      <c r="AF59" s="64">
        <v>39151</v>
      </c>
      <c r="AG59" s="65">
        <v>4916124.3300000122</v>
      </c>
      <c r="AH59" s="7"/>
      <c r="AI59" s="72">
        <v>39515</v>
      </c>
      <c r="AJ59" s="73">
        <v>5414752.3600000329</v>
      </c>
      <c r="AK59" s="39"/>
      <c r="AL59" s="72">
        <v>39879</v>
      </c>
      <c r="AM59" s="73">
        <v>5531679.1399999568</v>
      </c>
      <c r="AN59" s="39"/>
      <c r="AO59" s="72">
        <v>40243</v>
      </c>
      <c r="AP59" s="73">
        <v>5441995.5799999861</v>
      </c>
      <c r="AQ59" s="39"/>
      <c r="AR59" s="72">
        <v>40607</v>
      </c>
      <c r="AS59" s="73">
        <v>5351088.880000026</v>
      </c>
      <c r="AT59" s="39"/>
      <c r="AU59" s="72">
        <v>40971</v>
      </c>
      <c r="AV59" s="73">
        <v>5314401.1999999993</v>
      </c>
      <c r="AW59" s="73"/>
      <c r="AX59" s="107">
        <v>41335</v>
      </c>
      <c r="AY59" s="108">
        <v>5432222.2799999891</v>
      </c>
      <c r="AZ59" s="73"/>
      <c r="BA59" s="107">
        <v>41699</v>
      </c>
      <c r="BB59" s="108">
        <v>5947517.7000000002</v>
      </c>
      <c r="BC59" s="39"/>
      <c r="BD59" s="107">
        <v>42063</v>
      </c>
      <c r="BE59" s="108">
        <v>5958285.5400000224</v>
      </c>
      <c r="BF59" s="39"/>
      <c r="BG59" s="39"/>
      <c r="BH59" s="39"/>
      <c r="BI59" s="39"/>
      <c r="BJ59" s="72">
        <v>42791</v>
      </c>
      <c r="BK59" s="39">
        <f t="shared" si="16"/>
        <v>11905803.240000023</v>
      </c>
      <c r="BL59" s="39">
        <f>SUM(BK58:BK59)</f>
        <v>23942087.290000074</v>
      </c>
      <c r="BM59" s="9">
        <f>ROUND((BL59/$BK$68),6)</f>
        <v>6.2852000000000005E-2</v>
      </c>
      <c r="BN59" s="9">
        <f>ROUND((BL59/BK$68),5)</f>
        <v>6.2850000000000003E-2</v>
      </c>
      <c r="BO59" s="10">
        <f>BN21</f>
        <v>5.8369999999999998E-2</v>
      </c>
    </row>
    <row r="60" spans="1:67" ht="15" x14ac:dyDescent="0.25">
      <c r="A60">
        <v>19</v>
      </c>
      <c r="B60" s="2">
        <v>35511</v>
      </c>
      <c r="C60" s="11">
        <v>3630234.72</v>
      </c>
      <c r="D60" s="13">
        <f t="shared" si="8"/>
        <v>4.076686887514408E-2</v>
      </c>
      <c r="E60" s="2">
        <v>35875</v>
      </c>
      <c r="F60" s="11">
        <v>3587234.38</v>
      </c>
      <c r="G60" s="13">
        <f t="shared" si="9"/>
        <v>4.1115654981018775E-2</v>
      </c>
      <c r="H60" s="2">
        <v>36239</v>
      </c>
      <c r="I60" s="11">
        <v>3610040.74</v>
      </c>
      <c r="J60" s="13">
        <f t="shared" si="10"/>
        <v>4.1211569773846442E-2</v>
      </c>
      <c r="K60" s="2">
        <v>36603</v>
      </c>
      <c r="L60" s="11">
        <v>3769965.7399999709</v>
      </c>
      <c r="M60" s="13">
        <f t="shared" si="11"/>
        <v>4.2176096923625915E-2</v>
      </c>
      <c r="N60" s="2">
        <v>36967</v>
      </c>
      <c r="O60" s="11">
        <v>3946830.5299999649</v>
      </c>
      <c r="P60" s="13">
        <f t="shared" si="12"/>
        <v>4.2858026736219412E-2</v>
      </c>
      <c r="Q60" s="8">
        <v>37331</v>
      </c>
      <c r="R60" s="5">
        <v>4078305.0300000296</v>
      </c>
      <c r="S60" s="13">
        <f t="shared" si="13"/>
        <v>4.1732812849567494E-2</v>
      </c>
      <c r="T60" s="8">
        <v>37695</v>
      </c>
      <c r="U60" s="3">
        <v>4256198.7699999996</v>
      </c>
      <c r="V60" s="13">
        <f t="shared" si="14"/>
        <v>4.1233245070508961E-2</v>
      </c>
      <c r="W60" s="29">
        <v>38059</v>
      </c>
      <c r="X60" s="27">
        <v>4279762.97</v>
      </c>
      <c r="Y60" s="13">
        <f t="shared" si="15"/>
        <v>4.1403515015999003E-2</v>
      </c>
      <c r="Z60" s="28">
        <v>38423</v>
      </c>
      <c r="AA60" s="27">
        <v>4660526.9299999913</v>
      </c>
      <c r="AB60" s="7"/>
      <c r="AC60" s="28">
        <v>38787</v>
      </c>
      <c r="AD60" s="27">
        <v>4633837.6099999836</v>
      </c>
      <c r="AE60" s="7"/>
      <c r="AF60" s="64">
        <v>39165</v>
      </c>
      <c r="AG60" s="65">
        <v>4899489.450000017</v>
      </c>
      <c r="AH60" s="7"/>
      <c r="AI60" s="72">
        <v>39529</v>
      </c>
      <c r="AJ60" s="73">
        <v>4939470.3899999568</v>
      </c>
      <c r="AK60" s="39"/>
      <c r="AL60" s="72">
        <v>39893</v>
      </c>
      <c r="AM60" s="73">
        <v>5464253.4099999638</v>
      </c>
      <c r="AN60" s="39"/>
      <c r="AO60" s="72">
        <v>40257</v>
      </c>
      <c r="AP60" s="73">
        <v>5454360.1899999818</v>
      </c>
      <c r="AQ60" s="39"/>
      <c r="AR60" s="72">
        <v>40621</v>
      </c>
      <c r="AS60" s="73">
        <v>5548513.9400000004</v>
      </c>
      <c r="AT60" s="39"/>
      <c r="AU60" s="72">
        <v>40985</v>
      </c>
      <c r="AV60" s="73">
        <v>5693841.0599999959</v>
      </c>
      <c r="AW60" s="73"/>
      <c r="AX60" s="107">
        <v>41349</v>
      </c>
      <c r="AY60" s="108">
        <v>5627008.790000028</v>
      </c>
      <c r="AZ60" s="73"/>
      <c r="BA60" s="107">
        <v>41713</v>
      </c>
      <c r="BB60" s="108">
        <v>6182210.8399999859</v>
      </c>
      <c r="BC60" s="39"/>
      <c r="BD60" s="107">
        <v>42077</v>
      </c>
      <c r="BE60" s="108">
        <v>6047468.9600000409</v>
      </c>
      <c r="BF60" s="39"/>
      <c r="BG60" s="39"/>
      <c r="BH60" s="39"/>
      <c r="BI60" s="39"/>
      <c r="BJ60" s="72">
        <v>42805</v>
      </c>
      <c r="BK60" s="39">
        <f t="shared" si="16"/>
        <v>12229679.800000027</v>
      </c>
      <c r="BL60" s="39"/>
      <c r="BM60" s="9"/>
      <c r="BN60" s="9"/>
      <c r="BO60" s="10"/>
    </row>
    <row r="61" spans="1:67" ht="15" x14ac:dyDescent="0.25">
      <c r="A61">
        <v>20</v>
      </c>
      <c r="B61" s="2">
        <v>35525</v>
      </c>
      <c r="C61" s="11">
        <v>3215889.97</v>
      </c>
      <c r="D61" s="13">
        <f t="shared" si="8"/>
        <v>3.6113853465618621E-2</v>
      </c>
      <c r="E61" s="2">
        <v>35889</v>
      </c>
      <c r="F61" s="11">
        <v>3528671.81</v>
      </c>
      <c r="G61" s="13">
        <f t="shared" si="9"/>
        <v>4.0444430810012207E-2</v>
      </c>
      <c r="H61" s="2">
        <v>36253</v>
      </c>
      <c r="I61" s="11">
        <v>3218414.96</v>
      </c>
      <c r="J61" s="13">
        <f t="shared" si="10"/>
        <v>3.6740840959382418E-2</v>
      </c>
      <c r="K61" s="2">
        <v>36617</v>
      </c>
      <c r="L61" s="11">
        <v>3715505.2899999926</v>
      </c>
      <c r="M61" s="13">
        <f t="shared" si="11"/>
        <v>4.156682634237565E-2</v>
      </c>
      <c r="N61" s="2">
        <v>36981</v>
      </c>
      <c r="O61" s="11">
        <v>3538840.8299999651</v>
      </c>
      <c r="P61" s="13">
        <f t="shared" si="12"/>
        <v>3.8427729225902374E-2</v>
      </c>
      <c r="Q61" s="8">
        <v>37345</v>
      </c>
      <c r="R61" s="5">
        <v>3660000.9400000297</v>
      </c>
      <c r="S61" s="13">
        <f t="shared" si="13"/>
        <v>3.7452356588016475E-2</v>
      </c>
      <c r="T61" s="8">
        <v>37709</v>
      </c>
      <c r="U61" s="3">
        <v>4164426.26</v>
      </c>
      <c r="V61" s="13">
        <f t="shared" si="14"/>
        <v>4.0344170429014781E-2</v>
      </c>
      <c r="W61" s="29">
        <v>38073</v>
      </c>
      <c r="X61" s="27">
        <v>4206373.34</v>
      </c>
      <c r="Y61" s="13">
        <f t="shared" si="15"/>
        <v>4.0693525077532017E-2</v>
      </c>
      <c r="Z61" s="28">
        <v>38437</v>
      </c>
      <c r="AA61" s="27">
        <v>3957556.4900000086</v>
      </c>
      <c r="AB61" s="7"/>
      <c r="AC61" s="28">
        <v>38801</v>
      </c>
      <c r="AD61" s="27">
        <v>4627618.3599999733</v>
      </c>
      <c r="AE61" s="7"/>
      <c r="AF61" s="64">
        <v>39179</v>
      </c>
      <c r="AG61" s="65">
        <v>3983784.1900000037</v>
      </c>
      <c r="AH61" s="7"/>
      <c r="AI61" s="72">
        <v>39543</v>
      </c>
      <c r="AJ61" s="73">
        <v>4778707.4299999448</v>
      </c>
      <c r="AK61" s="39"/>
      <c r="AL61" s="72">
        <v>39907</v>
      </c>
      <c r="AM61" s="73">
        <v>4762207.5099999653</v>
      </c>
      <c r="AN61" s="39"/>
      <c r="AO61" s="72">
        <v>40271</v>
      </c>
      <c r="AP61" s="73">
        <v>4216630.5300000012</v>
      </c>
      <c r="AQ61" s="39"/>
      <c r="AR61" s="72">
        <v>40635</v>
      </c>
      <c r="AS61" s="73">
        <v>5058789.2999999989</v>
      </c>
      <c r="AT61" s="39"/>
      <c r="AU61" s="72">
        <v>40999</v>
      </c>
      <c r="AV61" s="73">
        <f>14236894.86-AV75</f>
        <v>4994889.5299999993</v>
      </c>
      <c r="AW61" s="73"/>
      <c r="AX61" s="107">
        <v>41363</v>
      </c>
      <c r="AY61" s="108">
        <v>5035087.2499999804</v>
      </c>
      <c r="AZ61" s="73"/>
      <c r="BA61" s="107">
        <v>41727</v>
      </c>
      <c r="BB61" s="108">
        <v>5780646.5799999796</v>
      </c>
      <c r="BC61" s="39"/>
      <c r="BD61" s="107">
        <v>42091</v>
      </c>
      <c r="BE61" s="108">
        <v>5841682.7000000291</v>
      </c>
      <c r="BF61" s="39"/>
      <c r="BG61" s="39"/>
      <c r="BH61" s="39"/>
      <c r="BI61" s="39"/>
      <c r="BJ61" s="72">
        <v>42819</v>
      </c>
      <c r="BK61" s="39">
        <f t="shared" si="16"/>
        <v>11622329.280000009</v>
      </c>
      <c r="BL61" s="39">
        <f>SUM(BK60:BK61)</f>
        <v>23852009.080000035</v>
      </c>
      <c r="BM61" s="9">
        <f>ROUND((BL61/$BK$68),6)</f>
        <v>6.2616000000000005E-2</v>
      </c>
      <c r="BN61" s="9">
        <f>ROUND((BL61/BK$68),5)</f>
        <v>6.2619999999999995E-2</v>
      </c>
      <c r="BO61" s="10">
        <f>BN23</f>
        <v>5.6370000000000003E-2</v>
      </c>
    </row>
    <row r="62" spans="1:67" ht="15" x14ac:dyDescent="0.25">
      <c r="A62">
        <v>21</v>
      </c>
      <c r="B62" s="2">
        <v>35539</v>
      </c>
      <c r="C62" s="11">
        <v>3651183.2100000065</v>
      </c>
      <c r="D62" s="13">
        <f t="shared" si="8"/>
        <v>4.100211656870438E-2</v>
      </c>
      <c r="E62" s="2">
        <v>35903</v>
      </c>
      <c r="F62" s="11">
        <v>3105915.81</v>
      </c>
      <c r="G62" s="13">
        <f t="shared" si="9"/>
        <v>3.559894596127601E-2</v>
      </c>
      <c r="H62" s="2">
        <v>36267</v>
      </c>
      <c r="I62" s="11">
        <v>3453090.75999999</v>
      </c>
      <c r="J62" s="13">
        <f t="shared" si="10"/>
        <v>3.9419857292570061E-2</v>
      </c>
      <c r="K62" s="2">
        <v>36631</v>
      </c>
      <c r="L62" s="11">
        <v>3632503.47</v>
      </c>
      <c r="M62" s="13">
        <f t="shared" si="11"/>
        <v>4.0638252173116209E-2</v>
      </c>
      <c r="N62" s="2">
        <v>36995</v>
      </c>
      <c r="O62" s="11">
        <v>3439532.6899999678</v>
      </c>
      <c r="P62" s="13">
        <f t="shared" si="12"/>
        <v>3.7349357381230304E-2</v>
      </c>
      <c r="Q62" s="8">
        <v>37359</v>
      </c>
      <c r="R62" s="5">
        <v>3728948.3600000325</v>
      </c>
      <c r="S62" s="13">
        <f t="shared" si="13"/>
        <v>3.8157887379400325E-2</v>
      </c>
      <c r="T62" s="8">
        <v>37723</v>
      </c>
      <c r="U62" s="3">
        <v>3753184.28</v>
      </c>
      <c r="V62" s="13">
        <f t="shared" si="14"/>
        <v>3.6360136256517392E-2</v>
      </c>
      <c r="W62" s="29">
        <v>38087</v>
      </c>
      <c r="X62" s="27">
        <v>3324481.54</v>
      </c>
      <c r="Y62" s="13">
        <f t="shared" si="15"/>
        <v>3.2161879600963394E-2</v>
      </c>
      <c r="Z62" s="28">
        <v>38451</v>
      </c>
      <c r="AA62" s="27">
        <v>3840298.4700000137</v>
      </c>
      <c r="AB62" s="7"/>
      <c r="AC62" s="28">
        <v>38815</v>
      </c>
      <c r="AD62" s="27">
        <v>4158001.9999999809</v>
      </c>
      <c r="AE62" s="7"/>
      <c r="AF62" s="64">
        <v>39193</v>
      </c>
      <c r="AG62" s="65">
        <v>4790987.7800000235</v>
      </c>
      <c r="AH62" s="7"/>
      <c r="AI62" s="72">
        <v>39557</v>
      </c>
      <c r="AJ62" s="73">
        <v>5306427.2099999739</v>
      </c>
      <c r="AK62" s="39"/>
      <c r="AL62" s="72">
        <v>39921</v>
      </c>
      <c r="AM62" s="73">
        <v>4784969.7499999823</v>
      </c>
      <c r="AN62" s="39"/>
      <c r="AO62" s="72">
        <v>40285</v>
      </c>
      <c r="AP62" s="73">
        <v>5333212.2899999907</v>
      </c>
      <c r="AQ62" s="39"/>
      <c r="AR62" s="72">
        <v>40649</v>
      </c>
      <c r="AS62" s="73">
        <v>5369759.9200000092</v>
      </c>
      <c r="AT62" s="39"/>
      <c r="AU62" s="72">
        <v>41013</v>
      </c>
      <c r="AV62" s="73">
        <v>4735485.3599999966</v>
      </c>
      <c r="AW62" s="73"/>
      <c r="AX62" s="107">
        <v>41377</v>
      </c>
      <c r="AY62" s="108">
        <v>4777420.3499999968</v>
      </c>
      <c r="AZ62" s="73"/>
      <c r="BA62" s="107">
        <v>41741</v>
      </c>
      <c r="BB62" s="108">
        <v>5286086.9600000102</v>
      </c>
      <c r="BC62" s="39"/>
      <c r="BD62" s="107">
        <v>42105</v>
      </c>
      <c r="BE62" s="108">
        <v>4405904.030000018</v>
      </c>
      <c r="BF62" s="39"/>
      <c r="BG62" s="39"/>
      <c r="BH62" s="39"/>
      <c r="BI62" s="39"/>
      <c r="BJ62" s="72">
        <v>42833</v>
      </c>
      <c r="BK62" s="39">
        <f t="shared" si="16"/>
        <v>9691990.9900000282</v>
      </c>
      <c r="BL62" s="39"/>
      <c r="BM62" s="9"/>
      <c r="BN62" s="9"/>
      <c r="BO62" s="10"/>
    </row>
    <row r="63" spans="1:67" ht="15" x14ac:dyDescent="0.25">
      <c r="A63">
        <v>22</v>
      </c>
      <c r="B63" s="2">
        <v>35553</v>
      </c>
      <c r="C63" s="11">
        <v>3603456.9100000141</v>
      </c>
      <c r="D63" s="13">
        <f t="shared" si="8"/>
        <v>4.0466158989081132E-2</v>
      </c>
      <c r="E63" s="2">
        <v>35917</v>
      </c>
      <c r="F63" s="11">
        <v>3514706.7199999909</v>
      </c>
      <c r="G63" s="13">
        <f t="shared" si="9"/>
        <v>4.0284367719231044E-2</v>
      </c>
      <c r="H63" s="2">
        <v>36281</v>
      </c>
      <c r="I63" s="11">
        <v>3614415.81</v>
      </c>
      <c r="J63" s="13">
        <f t="shared" si="10"/>
        <v>4.1261514778780227E-2</v>
      </c>
      <c r="K63" s="2">
        <v>36645</v>
      </c>
      <c r="L63" s="11">
        <v>3198234.03</v>
      </c>
      <c r="M63" s="13">
        <f t="shared" si="11"/>
        <v>3.5779908290020625E-2</v>
      </c>
      <c r="N63" s="2">
        <v>37009</v>
      </c>
      <c r="O63" s="11">
        <v>3793473.5899999673</v>
      </c>
      <c r="P63" s="13">
        <f t="shared" si="12"/>
        <v>4.1192747270899999E-2</v>
      </c>
      <c r="Q63" s="8">
        <v>37373</v>
      </c>
      <c r="R63" s="5">
        <v>4123373.1300000232</v>
      </c>
      <c r="S63" s="13">
        <f t="shared" si="13"/>
        <v>4.2193989384659895E-2</v>
      </c>
      <c r="T63" s="8">
        <v>37737</v>
      </c>
      <c r="U63" s="3">
        <v>3673145.25</v>
      </c>
      <c r="V63" s="13">
        <f t="shared" si="14"/>
        <v>3.5584733340079867E-2</v>
      </c>
      <c r="W63" s="29">
        <v>38101</v>
      </c>
      <c r="X63" s="27">
        <v>4469811.8899999997</v>
      </c>
      <c r="Y63" s="13">
        <f t="shared" si="15"/>
        <v>4.3242096584219451E-2</v>
      </c>
      <c r="Z63" s="28">
        <v>38465</v>
      </c>
      <c r="AA63" s="27">
        <v>4418895.58</v>
      </c>
      <c r="AB63" s="7"/>
      <c r="AC63" s="28">
        <v>38829</v>
      </c>
      <c r="AD63" s="27">
        <v>4043128.19</v>
      </c>
      <c r="AE63" s="7"/>
      <c r="AF63" s="64">
        <v>39207</v>
      </c>
      <c r="AG63" s="65">
        <v>4912919.9000000106</v>
      </c>
      <c r="AH63" s="7"/>
      <c r="AI63" s="72">
        <v>39571</v>
      </c>
      <c r="AJ63" s="73">
        <v>5383944.8799999626</v>
      </c>
      <c r="AK63" s="39"/>
      <c r="AL63" s="72">
        <v>39935</v>
      </c>
      <c r="AM63" s="73">
        <v>5442208.0999999559</v>
      </c>
      <c r="AN63" s="75"/>
      <c r="AO63" s="72">
        <v>40299</v>
      </c>
      <c r="AP63" s="73">
        <v>5702421.179999982</v>
      </c>
      <c r="AQ63" s="39"/>
      <c r="AR63" s="72">
        <v>40663</v>
      </c>
      <c r="AS63" s="73">
        <v>4775239.620000002</v>
      </c>
      <c r="AT63" s="39"/>
      <c r="AU63" s="72">
        <v>41027</v>
      </c>
      <c r="AV63" s="73">
        <v>5454748.8499999996</v>
      </c>
      <c r="AW63" s="73"/>
      <c r="AX63" s="107">
        <v>41391</v>
      </c>
      <c r="AY63" s="108">
        <v>5390279.0800000131</v>
      </c>
      <c r="AZ63" s="73"/>
      <c r="BA63" s="107">
        <v>41755</v>
      </c>
      <c r="BB63" s="108">
        <v>5126494.9800000163</v>
      </c>
      <c r="BC63" s="39"/>
      <c r="BD63" s="107">
        <v>42119</v>
      </c>
      <c r="BE63" s="108">
        <v>5919294.5700000413</v>
      </c>
      <c r="BF63" s="39"/>
      <c r="BG63" s="39"/>
      <c r="BH63" s="39"/>
      <c r="BI63" s="39"/>
      <c r="BJ63" s="72">
        <v>42847</v>
      </c>
      <c r="BK63" s="39">
        <f t="shared" si="16"/>
        <v>11045789.550000057</v>
      </c>
      <c r="BL63" s="39">
        <f>SUM(BK62:BK63)</f>
        <v>20737780.540000085</v>
      </c>
      <c r="BM63" s="9">
        <f>ROUND((BL63/$BK$68),6)</f>
        <v>5.4441000000000003E-2</v>
      </c>
      <c r="BN63" s="9">
        <f>ROUND((BL63/BK$68),5)</f>
        <v>5.4440000000000002E-2</v>
      </c>
      <c r="BO63" s="10">
        <f>BN25</f>
        <v>5.577E-2</v>
      </c>
    </row>
    <row r="64" spans="1:67" ht="15" x14ac:dyDescent="0.25">
      <c r="A64">
        <v>23</v>
      </c>
      <c r="B64" s="2">
        <v>35567</v>
      </c>
      <c r="C64" s="11">
        <v>3580344.2100000167</v>
      </c>
      <c r="D64" s="13">
        <f t="shared" si="8"/>
        <v>4.0206607614879514E-2</v>
      </c>
      <c r="E64" s="2">
        <v>35931</v>
      </c>
      <c r="F64" s="11">
        <v>3529069.2800000054</v>
      </c>
      <c r="G64" s="13">
        <f t="shared" si="9"/>
        <v>4.0448986475367286E-2</v>
      </c>
      <c r="H64" s="2">
        <v>36295</v>
      </c>
      <c r="I64" s="11">
        <v>3632690.92</v>
      </c>
      <c r="J64" s="13">
        <f t="shared" si="10"/>
        <v>4.1470140117144054E-2</v>
      </c>
      <c r="K64" s="2">
        <v>36659</v>
      </c>
      <c r="L64" s="11">
        <v>3643725.0499999817</v>
      </c>
      <c r="M64" s="13">
        <f t="shared" si="11"/>
        <v>4.076379242423675E-2</v>
      </c>
      <c r="N64" s="2">
        <v>37023</v>
      </c>
      <c r="O64" s="11">
        <v>3805856.7499999716</v>
      </c>
      <c r="P64" s="13">
        <f t="shared" si="12"/>
        <v>4.1327214104052587E-2</v>
      </c>
      <c r="Q64" s="8">
        <v>37387</v>
      </c>
      <c r="R64" s="3">
        <v>4127826.33</v>
      </c>
      <c r="S64" s="13">
        <f t="shared" si="13"/>
        <v>4.2239558453381745E-2</v>
      </c>
      <c r="T64" s="8">
        <v>37751</v>
      </c>
      <c r="U64" s="3">
        <v>4246392.43</v>
      </c>
      <c r="V64" s="13">
        <f t="shared" si="14"/>
        <v>4.113824311164492E-2</v>
      </c>
      <c r="W64" s="29">
        <v>38115</v>
      </c>
      <c r="X64" s="27">
        <v>4404015.8499999996</v>
      </c>
      <c r="Y64" s="13">
        <f t="shared" si="15"/>
        <v>4.2605568965930984E-2</v>
      </c>
      <c r="Z64" s="28">
        <v>38479</v>
      </c>
      <c r="AA64" s="27">
        <v>4422917.49</v>
      </c>
      <c r="AB64" s="7"/>
      <c r="AC64" s="28">
        <v>38843</v>
      </c>
      <c r="AD64" s="27">
        <v>4592396.9499999797</v>
      </c>
      <c r="AE64" s="7"/>
      <c r="AF64" s="64">
        <v>39221</v>
      </c>
      <c r="AG64" s="65">
        <v>4904036.5699999901</v>
      </c>
      <c r="AH64" s="7"/>
      <c r="AI64" s="72">
        <v>39585</v>
      </c>
      <c r="AJ64" s="73">
        <v>5580259.5699999575</v>
      </c>
      <c r="AK64" s="39"/>
      <c r="AL64" s="72">
        <v>39949</v>
      </c>
      <c r="AM64" s="73">
        <v>5441986.7799999453</v>
      </c>
      <c r="AN64" s="75"/>
      <c r="AO64" s="72">
        <v>40313</v>
      </c>
      <c r="AP64" s="73">
        <v>5418480.1100000143</v>
      </c>
      <c r="AQ64" s="39"/>
      <c r="AR64" s="72">
        <v>40677</v>
      </c>
      <c r="AS64" s="73">
        <v>5441975.1100000134</v>
      </c>
      <c r="AT64" s="39"/>
      <c r="AU64" s="72">
        <v>41041</v>
      </c>
      <c r="AV64" s="73">
        <v>5482774.2800000003</v>
      </c>
      <c r="AW64" s="73"/>
      <c r="AX64" s="107">
        <v>41405</v>
      </c>
      <c r="AY64" s="108">
        <v>5400777.5900000036</v>
      </c>
      <c r="AZ64" s="73"/>
      <c r="BA64" s="107">
        <v>41769</v>
      </c>
      <c r="BB64" s="108">
        <v>5935137.4600000056</v>
      </c>
      <c r="BC64" s="39"/>
      <c r="BD64" s="107">
        <v>42133</v>
      </c>
      <c r="BE64" s="108">
        <v>5884079.75000004</v>
      </c>
      <c r="BF64" s="39"/>
      <c r="BG64" s="39"/>
      <c r="BH64" s="39"/>
      <c r="BI64" s="39"/>
      <c r="BJ64" s="72">
        <v>42861</v>
      </c>
      <c r="BK64" s="39">
        <f t="shared" si="16"/>
        <v>11819217.210000046</v>
      </c>
      <c r="BL64" s="39"/>
      <c r="BM64" s="9"/>
      <c r="BN64" s="9"/>
      <c r="BO64" s="10"/>
    </row>
    <row r="65" spans="1:67" ht="15" x14ac:dyDescent="0.25">
      <c r="A65">
        <v>24</v>
      </c>
      <c r="B65" s="2">
        <v>35581</v>
      </c>
      <c r="C65" s="11">
        <v>3145425.3500000099</v>
      </c>
      <c r="D65" s="13">
        <f t="shared" si="8"/>
        <v>3.5322548730404017E-2</v>
      </c>
      <c r="E65" s="2">
        <v>35945</v>
      </c>
      <c r="F65" s="11">
        <v>3108404.5800000126</v>
      </c>
      <c r="G65" s="13">
        <f t="shared" si="9"/>
        <v>3.5627471392794548E-2</v>
      </c>
      <c r="H65" s="2">
        <v>36309</v>
      </c>
      <c r="I65" s="11">
        <v>3596428.51</v>
      </c>
      <c r="J65" s="13">
        <f t="shared" si="10"/>
        <v>4.1056175027131575E-2</v>
      </c>
      <c r="K65" s="2">
        <v>36673</v>
      </c>
      <c r="L65" s="11">
        <v>3654477.0599999912</v>
      </c>
      <c r="M65" s="13">
        <f t="shared" si="11"/>
        <v>4.0884079410156204E-2</v>
      </c>
      <c r="N65" s="2">
        <v>37037</v>
      </c>
      <c r="O65" s="11">
        <v>3811585.28999996</v>
      </c>
      <c r="P65" s="13">
        <f t="shared" si="12"/>
        <v>4.1389419440363041E-2</v>
      </c>
      <c r="Q65" s="8">
        <v>37401</v>
      </c>
      <c r="R65" s="3">
        <v>4042466.49</v>
      </c>
      <c r="S65" s="13">
        <f t="shared" si="13"/>
        <v>4.1366081309964393E-2</v>
      </c>
      <c r="T65" s="8">
        <v>37765</v>
      </c>
      <c r="U65" s="3">
        <v>4216934.7</v>
      </c>
      <c r="V65" s="13">
        <f t="shared" si="14"/>
        <v>4.0852862219927108E-2</v>
      </c>
      <c r="W65" s="29">
        <v>38129</v>
      </c>
      <c r="X65" s="27">
        <v>4372264.96</v>
      </c>
      <c r="Y65" s="13">
        <f t="shared" si="15"/>
        <v>4.2298402784041636E-2</v>
      </c>
      <c r="Z65" s="28">
        <v>38493</v>
      </c>
      <c r="AA65" s="27">
        <v>4451129.3099999996</v>
      </c>
      <c r="AB65" s="7"/>
      <c r="AC65" s="28">
        <v>38857</v>
      </c>
      <c r="AD65" s="27">
        <v>4599539.8199999891</v>
      </c>
      <c r="AE65" s="7"/>
      <c r="AF65" s="64">
        <v>39235</v>
      </c>
      <c r="AG65" s="65">
        <v>4393584.5300000021</v>
      </c>
      <c r="AH65" s="7"/>
      <c r="AI65" s="72">
        <v>39599</v>
      </c>
      <c r="AJ65" s="73">
        <v>4668772.3099999977</v>
      </c>
      <c r="AK65" s="39"/>
      <c r="AL65" s="72">
        <v>39963</v>
      </c>
      <c r="AM65" s="73">
        <v>4848491.8399999784</v>
      </c>
      <c r="AN65" s="75"/>
      <c r="AO65" s="72">
        <v>40327</v>
      </c>
      <c r="AP65" s="73">
        <v>5319226.699999989</v>
      </c>
      <c r="AQ65" s="39"/>
      <c r="AR65" s="72">
        <v>40691</v>
      </c>
      <c r="AS65" s="73">
        <v>5334391.5399999991</v>
      </c>
      <c r="AT65" s="39"/>
      <c r="AU65" s="72">
        <v>41055</v>
      </c>
      <c r="AV65" s="73">
        <v>5429342.5099999998</v>
      </c>
      <c r="AW65" s="73"/>
      <c r="AX65" s="107">
        <v>41419</v>
      </c>
      <c r="AY65" s="108">
        <v>5383094.059999994</v>
      </c>
      <c r="AZ65" s="73"/>
      <c r="BA65" s="107">
        <v>41783</v>
      </c>
      <c r="BB65" s="108">
        <v>5668596.1500000227</v>
      </c>
      <c r="BC65" s="39"/>
      <c r="BD65" s="107">
        <v>42147</v>
      </c>
      <c r="BE65" s="108">
        <v>5817701.9400000218</v>
      </c>
      <c r="BF65" s="39"/>
      <c r="BG65" s="39"/>
      <c r="BH65" s="39"/>
      <c r="BI65" s="39"/>
      <c r="BJ65" s="72">
        <v>42875</v>
      </c>
      <c r="BK65" s="39">
        <f t="shared" si="16"/>
        <v>11486298.090000045</v>
      </c>
      <c r="BL65" s="39">
        <f>SUM(BK64:BK65)</f>
        <v>23305515.30000009</v>
      </c>
      <c r="BM65" s="9">
        <f>ROUND((BL65/$BK$68),6)</f>
        <v>6.1180999999999999E-2</v>
      </c>
      <c r="BN65" s="9">
        <f>ROUND((BL65/BK$68),5)</f>
        <v>6.1179999999999998E-2</v>
      </c>
      <c r="BO65" s="10">
        <f>BN27</f>
        <v>6.1679999999999999E-2</v>
      </c>
    </row>
    <row r="66" spans="1:67" ht="15" x14ac:dyDescent="0.25">
      <c r="A66">
        <v>25</v>
      </c>
      <c r="B66" s="2">
        <v>35595</v>
      </c>
      <c r="C66" s="11">
        <v>3570465.95</v>
      </c>
      <c r="D66" s="13">
        <f t="shared" si="8"/>
        <v>4.0095676570141105E-2</v>
      </c>
      <c r="E66" s="2">
        <v>35959</v>
      </c>
      <c r="F66" s="11">
        <v>3466832.81</v>
      </c>
      <c r="G66" s="13">
        <f t="shared" si="9"/>
        <v>3.9735653317650187E-2</v>
      </c>
      <c r="H66" s="2">
        <v>36323</v>
      </c>
      <c r="I66" s="11">
        <v>3177576.42</v>
      </c>
      <c r="J66" s="13">
        <f t="shared" si="10"/>
        <v>3.627463559997364E-2</v>
      </c>
      <c r="K66" s="2">
        <v>36687</v>
      </c>
      <c r="L66" s="11">
        <v>3288387.22</v>
      </c>
      <c r="M66" s="13">
        <f t="shared" si="11"/>
        <v>3.6788487662260255E-2</v>
      </c>
      <c r="N66" s="2">
        <v>37051</v>
      </c>
      <c r="O66" s="11">
        <v>3427877.7099999692</v>
      </c>
      <c r="P66" s="13">
        <f t="shared" si="12"/>
        <v>3.7222797742894366E-2</v>
      </c>
      <c r="Q66" s="8">
        <v>37415</v>
      </c>
      <c r="R66" s="3">
        <v>3613263.48</v>
      </c>
      <c r="S66" s="13">
        <f t="shared" si="13"/>
        <v>3.697409768955312E-2</v>
      </c>
      <c r="T66" s="8">
        <v>37779</v>
      </c>
      <c r="U66" s="3">
        <v>3786500.87</v>
      </c>
      <c r="V66" s="13">
        <f t="shared" si="14"/>
        <v>3.6682901050790306E-2</v>
      </c>
      <c r="W66" s="29">
        <v>38143</v>
      </c>
      <c r="X66" s="27">
        <v>3857255.76</v>
      </c>
      <c r="Y66" s="13">
        <f t="shared" si="15"/>
        <v>3.7316072852443191E-2</v>
      </c>
      <c r="Z66" s="28">
        <v>38507</v>
      </c>
      <c r="AA66" s="7">
        <v>3919991.11</v>
      </c>
      <c r="AC66" s="28">
        <v>38871</v>
      </c>
      <c r="AD66" s="27">
        <v>4150008.6899999888</v>
      </c>
      <c r="AF66" s="64">
        <v>39249</v>
      </c>
      <c r="AG66" s="65">
        <v>4918931.9700000193</v>
      </c>
      <c r="AH66" s="13">
        <f t="shared" ref="AH66:AH67" si="17">AG66/AD66</f>
        <v>1.1852823300955624</v>
      </c>
      <c r="AI66" s="72">
        <v>39613</v>
      </c>
      <c r="AJ66" s="73">
        <v>5260408.619999948</v>
      </c>
      <c r="AK66" s="59">
        <f>AJ66/AG66</f>
        <v>1.0694208930073752</v>
      </c>
      <c r="AL66" s="72">
        <v>39977</v>
      </c>
      <c r="AM66" s="73">
        <v>5462915.3899999745</v>
      </c>
      <c r="AN66" s="59">
        <f>AM66/AJ66</f>
        <v>1.0384963953617787</v>
      </c>
      <c r="AO66" s="72">
        <v>40341</v>
      </c>
      <c r="AP66" s="85">
        <v>4957416.7700000238</v>
      </c>
      <c r="AQ66" s="59">
        <f>AP66/AM66</f>
        <v>0.90746724342000962</v>
      </c>
      <c r="AR66" s="72">
        <v>40705</v>
      </c>
      <c r="AS66" s="74">
        <v>4783349.47</v>
      </c>
      <c r="AT66" s="59">
        <f>AS66/AP66</f>
        <v>0.96488749926102679</v>
      </c>
      <c r="AU66" s="72">
        <v>41069</v>
      </c>
      <c r="AV66" s="74">
        <v>4897699.7</v>
      </c>
      <c r="AW66" s="59">
        <f>AV66/AS66</f>
        <v>1.0239058907815908</v>
      </c>
      <c r="AX66" s="107">
        <v>41433</v>
      </c>
      <c r="AY66" s="108">
        <v>4840877.7499999842</v>
      </c>
      <c r="AZ66" s="59">
        <f>AY66/AV66</f>
        <v>0.98839823723777598</v>
      </c>
      <c r="BA66" s="107">
        <v>41797</v>
      </c>
      <c r="BB66" s="114">
        <v>5201325.76</v>
      </c>
      <c r="BC66" s="59">
        <f>BB66/AY66</f>
        <v>1.0744592259120811</v>
      </c>
      <c r="BD66" s="107">
        <v>42161</v>
      </c>
      <c r="BE66" s="108">
        <v>5234945.5100000249</v>
      </c>
      <c r="BF66" s="59">
        <f>BE66/BB66</f>
        <v>1.0064636885961984</v>
      </c>
      <c r="BG66" s="72">
        <v>42889</v>
      </c>
      <c r="BH66" s="114">
        <f>BE66*BF66</f>
        <v>5268782.5675947322</v>
      </c>
      <c r="BI66" s="75"/>
      <c r="BJ66" s="72">
        <v>42889</v>
      </c>
      <c r="BK66" s="39">
        <f t="shared" si="16"/>
        <v>15705053.837594759</v>
      </c>
      <c r="BL66" s="37"/>
    </row>
    <row r="67" spans="1:67" ht="15" x14ac:dyDescent="0.25">
      <c r="A67">
        <v>26</v>
      </c>
      <c r="B67" s="2">
        <v>35609</v>
      </c>
      <c r="C67" s="11">
        <v>3504422.1600000206</v>
      </c>
      <c r="D67" s="13">
        <f t="shared" si="8"/>
        <v>3.935401694352976E-2</v>
      </c>
      <c r="E67" s="2">
        <v>35973</v>
      </c>
      <c r="F67" s="11">
        <v>3432773.8599999924</v>
      </c>
      <c r="G67" s="13">
        <f t="shared" si="9"/>
        <v>3.934528126807809E-2</v>
      </c>
      <c r="H67" s="2">
        <v>36337</v>
      </c>
      <c r="I67" s="11">
        <v>3498402.7700000065</v>
      </c>
      <c r="J67" s="13">
        <f t="shared" si="10"/>
        <v>3.993713097345071E-2</v>
      </c>
      <c r="K67" s="2">
        <v>36701</v>
      </c>
      <c r="L67" s="11">
        <v>3548605.099999974</v>
      </c>
      <c r="M67" s="13">
        <f t="shared" si="11"/>
        <v>3.9699647944618534E-2</v>
      </c>
      <c r="N67" s="2">
        <v>37065</v>
      </c>
      <c r="O67" s="11">
        <v>3960493.2699999674</v>
      </c>
      <c r="P67" s="13">
        <f t="shared" si="12"/>
        <v>4.3006388332127644E-2</v>
      </c>
      <c r="Q67" s="8">
        <v>37429</v>
      </c>
      <c r="R67" s="3">
        <v>3997119.95</v>
      </c>
      <c r="S67" s="13">
        <f t="shared" si="13"/>
        <v>4.0902055531295403E-2</v>
      </c>
      <c r="T67" s="8">
        <v>37793</v>
      </c>
      <c r="U67" s="3">
        <v>4203065.12</v>
      </c>
      <c r="V67" s="13">
        <f t="shared" si="14"/>
        <v>4.0718496363897072E-2</v>
      </c>
      <c r="W67" s="29">
        <v>38157</v>
      </c>
      <c r="X67" s="27">
        <v>4216602.8499999996</v>
      </c>
      <c r="Y67" s="13">
        <f t="shared" si="15"/>
        <v>4.079248795792053E-2</v>
      </c>
      <c r="Z67" s="28">
        <v>38521</v>
      </c>
      <c r="AA67" s="7">
        <v>4506733.3099999996</v>
      </c>
      <c r="AC67" s="28">
        <v>38885</v>
      </c>
      <c r="AD67" s="27">
        <v>4794665.0700000161</v>
      </c>
      <c r="AF67" s="64">
        <v>39263</v>
      </c>
      <c r="AG67" s="65">
        <v>4821618.7799999937</v>
      </c>
      <c r="AH67" s="13">
        <f t="shared" si="17"/>
        <v>1.0056216043470119</v>
      </c>
      <c r="AI67" s="72">
        <v>39627</v>
      </c>
      <c r="AJ67" s="73">
        <v>5108831.4399999753</v>
      </c>
      <c r="AK67" s="59">
        <f>AJ67/AG67</f>
        <v>1.0595676832003673</v>
      </c>
      <c r="AL67" s="72">
        <v>39991</v>
      </c>
      <c r="AM67" s="73">
        <v>5368573.2399999751</v>
      </c>
      <c r="AN67" s="59">
        <f>AM67/AJ67</f>
        <v>1.0508417243846278</v>
      </c>
      <c r="AO67" s="72">
        <v>40355</v>
      </c>
      <c r="AP67" s="85">
        <v>5374979.4900000151</v>
      </c>
      <c r="AQ67" s="59">
        <f>AP67/AM67</f>
        <v>1.001193287250383</v>
      </c>
      <c r="AR67" s="72">
        <v>40719</v>
      </c>
      <c r="AS67" s="74">
        <v>5306000.5</v>
      </c>
      <c r="AT67" s="59">
        <f>AS67/AP67</f>
        <v>0.98716665056520714</v>
      </c>
      <c r="AU67" s="72">
        <v>41083</v>
      </c>
      <c r="AV67" s="74">
        <v>5307615.22</v>
      </c>
      <c r="AW67" s="59">
        <f>AV67/AS67</f>
        <v>1.0003043196094685</v>
      </c>
      <c r="AX67" s="107">
        <v>41447</v>
      </c>
      <c r="AY67" s="108">
        <v>5392313.7100000093</v>
      </c>
      <c r="AZ67" s="59">
        <f>AY67/AV67</f>
        <v>1.0159579182908458</v>
      </c>
      <c r="BA67" s="107">
        <v>41811</v>
      </c>
      <c r="BB67" s="114">
        <v>5675229.6500000004</v>
      </c>
      <c r="BC67" s="59">
        <f>BB67/AY67</f>
        <v>1.0524665209064756</v>
      </c>
      <c r="BD67" s="107">
        <v>42175</v>
      </c>
      <c r="BE67" s="108">
        <v>5782737.0400000475</v>
      </c>
      <c r="BF67" s="59">
        <f>BE67/BB67</f>
        <v>1.0189432669037537</v>
      </c>
      <c r="BG67" s="72">
        <v>42903</v>
      </c>
      <c r="BH67" s="114">
        <f>BE67*BF67</f>
        <v>5892280.9711829908</v>
      </c>
      <c r="BI67" s="75"/>
      <c r="BJ67" s="72">
        <v>42903</v>
      </c>
      <c r="BK67" s="39">
        <f t="shared" si="16"/>
        <v>17350247.661183037</v>
      </c>
      <c r="BL67" s="39">
        <f>SUM(BK66:BK67)</f>
        <v>33055301.498777796</v>
      </c>
      <c r="BM67" s="9">
        <f>ROUND((BL67/$BK$68),6)</f>
        <v>8.6776000000000006E-2</v>
      </c>
      <c r="BN67" s="9">
        <f>ROUND((BL67/BK$68),5)</f>
        <v>8.6779999999999996E-2</v>
      </c>
      <c r="BO67" s="10">
        <f>BN29</f>
        <v>8.4900000000000003E-2</v>
      </c>
    </row>
    <row r="68" spans="1:67" x14ac:dyDescent="0.2">
      <c r="C68" s="3">
        <f>SUM(C42:C67)</f>
        <v>89048652.009999871</v>
      </c>
      <c r="F68" s="3">
        <f>SUM(F42:F67)</f>
        <v>87247409.330000043</v>
      </c>
      <c r="I68" s="3">
        <f>SUM(I42:I67)</f>
        <v>87597748.880000025</v>
      </c>
      <c r="L68" s="3">
        <f>SUM(L42:L67)</f>
        <v>89386311.559999704</v>
      </c>
      <c r="O68" s="3">
        <f>SUM(O42:O67)</f>
        <v>92090813.099999532</v>
      </c>
      <c r="P68" s="14">
        <f>SUM(P42:P67)</f>
        <v>1</v>
      </c>
      <c r="R68" s="3">
        <f>SUM(R42:R67)</f>
        <v>97724182.760000467</v>
      </c>
      <c r="S68" s="14">
        <f>SUM(S42:S67)</f>
        <v>1.0000000000000002</v>
      </c>
      <c r="T68" s="8"/>
      <c r="U68" s="3">
        <f>SUM(U42:U67)</f>
        <v>103222503.17000003</v>
      </c>
      <c r="V68" s="14">
        <f>SUM(V42:V67)</f>
        <v>0.99999999999999956</v>
      </c>
      <c r="W68" s="8"/>
      <c r="X68" s="3">
        <f>SUM(X42:X67)</f>
        <v>103367140.89</v>
      </c>
      <c r="Y68" s="14">
        <f>SUM(Y42:Y67)</f>
        <v>1</v>
      </c>
      <c r="Z68" s="3"/>
      <c r="AA68" s="3">
        <f>SUM(AA42:AA67)</f>
        <v>108145822.99999984</v>
      </c>
      <c r="AB68" s="3"/>
      <c r="AD68" s="3">
        <f>SUM(AD42:AD67)</f>
        <v>111114200.48399997</v>
      </c>
      <c r="AE68" s="3"/>
      <c r="AF68" s="28"/>
      <c r="AG68" s="3">
        <f>SUM(AG42:AG67)</f>
        <v>119412672.85000005</v>
      </c>
      <c r="AH68" s="3"/>
      <c r="AI68" s="38"/>
      <c r="AJ68" s="38">
        <f>SUM(AJ42:AJ67)</f>
        <v>127552005.89000005</v>
      </c>
      <c r="AK68" s="38"/>
      <c r="AL68" s="38"/>
      <c r="AM68" s="38">
        <f>SUM(AM42:AM67)</f>
        <v>131378013.43999927</v>
      </c>
      <c r="AN68" s="38"/>
      <c r="AO68" s="38"/>
      <c r="AP68" s="38">
        <f>SUM(AP42:AP67)</f>
        <v>133621799.08999963</v>
      </c>
      <c r="AQ68" s="38"/>
      <c r="AR68" s="38"/>
      <c r="AS68" s="38">
        <f>SUM(AS42:AS67)</f>
        <v>133321707.33000022</v>
      </c>
      <c r="AT68" s="38"/>
      <c r="AU68" s="38"/>
      <c r="AV68" s="38">
        <f>SUM(AV42:AV67)</f>
        <v>134183489.12000017</v>
      </c>
      <c r="AW68" s="38"/>
      <c r="AX68" s="38"/>
      <c r="AY68" s="38">
        <f>SUM(AY42:AY67)</f>
        <v>133356741.51000012</v>
      </c>
      <c r="AZ68" s="38"/>
      <c r="BA68" s="38"/>
      <c r="BB68" s="38">
        <f>SUM(BB42:BB67)</f>
        <v>140437838.51000005</v>
      </c>
      <c r="BC68" s="38"/>
      <c r="BD68" s="38"/>
      <c r="BE68" s="38">
        <f>SUM(BE42:BE67)</f>
        <v>143884631.4800007</v>
      </c>
      <c r="BF68" s="38"/>
      <c r="BG68" s="38"/>
      <c r="BH68" s="38">
        <f>SUM(BH42:BH67)</f>
        <v>96602609.238777921</v>
      </c>
      <c r="BI68" s="38"/>
      <c r="BJ68" s="58"/>
      <c r="BK68" s="38">
        <f>SUM(BK42:BK67)</f>
        <v>380925079.22877866</v>
      </c>
      <c r="BL68" s="32"/>
      <c r="BM68" s="10">
        <f>SUM(BM43:BM67)</f>
        <v>0.99999799999999994</v>
      </c>
      <c r="BN68" s="10">
        <f>SUM(BN43:BN67)</f>
        <v>0.99999000000000005</v>
      </c>
    </row>
    <row r="69" spans="1:67" x14ac:dyDescent="0.2">
      <c r="C69" s="3">
        <f>SUM(C42:C63)</f>
        <v>75247994.33999981</v>
      </c>
      <c r="F69" s="3">
        <f>SUM(F42:F63)</f>
        <v>73710328.800000027</v>
      </c>
      <c r="I69" s="3">
        <f>SUM(I42:I63)</f>
        <v>73692650.260000005</v>
      </c>
      <c r="L69" s="3">
        <f>SUM(L42:L63)</f>
        <v>75251117.129999757</v>
      </c>
      <c r="O69" s="3">
        <f>SUM(O42:O63)</f>
        <v>77085000.07999967</v>
      </c>
      <c r="R69" s="3">
        <f>SUM(R42:R63)</f>
        <v>81943506.510000467</v>
      </c>
      <c r="T69" s="8"/>
      <c r="U69" s="3">
        <f>SUM(U42:U63)</f>
        <v>86769610.050000012</v>
      </c>
      <c r="W69" s="8"/>
      <c r="X69" s="3">
        <f>SUM(X42:X63)</f>
        <v>86517001.470000014</v>
      </c>
      <c r="Y69" s="7"/>
      <c r="Z69" s="7"/>
      <c r="AA69" s="3">
        <f>SUM(AA42:AA65)</f>
        <v>99719098.579999834</v>
      </c>
      <c r="AB69" s="7"/>
      <c r="AC69" s="39"/>
      <c r="AD69" s="3">
        <f>SUM(AD42:AD65)</f>
        <v>102169526.72399996</v>
      </c>
      <c r="AE69" s="7"/>
      <c r="AF69" s="7"/>
      <c r="AG69" s="3">
        <f>SUM(AG42:AG65)</f>
        <v>109672122.10000005</v>
      </c>
      <c r="AH69" s="7"/>
      <c r="AI69" s="39"/>
      <c r="AJ69" s="3">
        <f>SUM(AJ42:AJ65)</f>
        <v>117182765.83000012</v>
      </c>
      <c r="AK69" s="39"/>
      <c r="AL69" s="39"/>
      <c r="AM69" s="3">
        <f>SUM(AM42:AM65)</f>
        <v>120546524.80999932</v>
      </c>
      <c r="AN69" s="39"/>
      <c r="AO69" s="39"/>
      <c r="AP69" s="3">
        <f>SUM(AP42:AP65)</f>
        <v>123289402.8299996</v>
      </c>
      <c r="AQ69" s="39"/>
      <c r="AR69" s="39"/>
      <c r="AS69" s="3">
        <f>SUM(AS42:AS65)</f>
        <v>123232357.36000022</v>
      </c>
      <c r="AT69" s="39"/>
      <c r="AU69" s="39"/>
      <c r="AV69" s="3">
        <f>SUM(AV42:AV65)</f>
        <v>123978174.20000017</v>
      </c>
      <c r="AW69" s="39"/>
      <c r="AX69" s="39"/>
      <c r="AY69" s="3">
        <f>SUM(AY42:AY65)</f>
        <v>123123550.05000013</v>
      </c>
      <c r="AZ69" s="3"/>
      <c r="BA69" s="39"/>
      <c r="BB69" s="3">
        <f>SUM(BB42:BB65)</f>
        <v>129561283.10000005</v>
      </c>
      <c r="BC69" s="39"/>
      <c r="BD69" s="39"/>
      <c r="BE69" s="38">
        <f>SUM(BE42:BE65)</f>
        <v>132866948.93000063</v>
      </c>
      <c r="BF69" s="39"/>
      <c r="BG69" s="39"/>
      <c r="BH69" s="38">
        <f>SUM(BH42:BH65)</f>
        <v>85441545.700000197</v>
      </c>
      <c r="BI69" s="39"/>
      <c r="BJ69" s="58"/>
      <c r="BK69" s="39">
        <f>AS69+AV69+AY69</f>
        <v>370334081.61000049</v>
      </c>
    </row>
    <row r="70" spans="1:67" x14ac:dyDescent="0.2">
      <c r="AC70" s="37"/>
      <c r="AD70" s="38"/>
      <c r="AG70" s="13">
        <f>AG69/AG68</f>
        <v>0.91842950570049153</v>
      </c>
      <c r="AI70" s="37"/>
      <c r="AJ70" s="59">
        <f>AJ69/AJ68</f>
        <v>0.91870578602313568</v>
      </c>
      <c r="AK70" s="37"/>
      <c r="AL70" s="37"/>
      <c r="AM70" s="59">
        <f>AM69/AM68</f>
        <v>0.91755478450017269</v>
      </c>
      <c r="AN70" s="37"/>
      <c r="AO70" s="37"/>
      <c r="AP70" s="59">
        <f>AP69/AP68</f>
        <v>0.92267432162741081</v>
      </c>
      <c r="AQ70" s="37"/>
      <c r="AR70" s="37"/>
      <c r="AS70" s="59">
        <f>AS69/AS68</f>
        <v>0.92432327659121061</v>
      </c>
      <c r="AT70" s="37"/>
      <c r="AU70" s="37"/>
      <c r="AV70" s="59">
        <f>AV69/AV68</f>
        <v>0.92394507709608442</v>
      </c>
      <c r="AW70" s="37"/>
      <c r="AX70" s="37"/>
      <c r="AY70" s="59">
        <f>AY69/AY68</f>
        <v>0.92326453582976431</v>
      </c>
      <c r="AZ70" s="59"/>
      <c r="BA70" s="37"/>
      <c r="BB70" s="59">
        <f>BB69/BB68</f>
        <v>0.92255252910898711</v>
      </c>
      <c r="BC70" s="37"/>
      <c r="BD70" s="37"/>
      <c r="BE70" s="59">
        <f>BE69/BE68</f>
        <v>0.92342696758735154</v>
      </c>
      <c r="BF70" s="37"/>
      <c r="BG70" s="37"/>
      <c r="BH70" s="59">
        <f>BH69/BH68</f>
        <v>0.88446416068130917</v>
      </c>
      <c r="BI70" s="37"/>
      <c r="BJ70" s="37"/>
      <c r="BK70" s="59">
        <f>BK69/BK68</f>
        <v>0.97219663866653061</v>
      </c>
    </row>
    <row r="71" spans="1:67" x14ac:dyDescent="0.2">
      <c r="D71" s="13">
        <f>C64/C$69</f>
        <v>4.7580593229138095E-2</v>
      </c>
      <c r="G71" s="13">
        <f>F64/F$69</f>
        <v>4.7877540874570135E-2</v>
      </c>
      <c r="J71" s="13">
        <f>I64/I$69</f>
        <v>4.9295159112655855E-2</v>
      </c>
      <c r="M71" s="13">
        <f>L64/L$69</f>
        <v>4.8420876512773617E-2</v>
      </c>
      <c r="P71" s="13">
        <f>O64/O$69</f>
        <v>4.9372209198290343E-2</v>
      </c>
      <c r="S71" s="13">
        <f>R64/R$69</f>
        <v>5.037405043798359E-2</v>
      </c>
      <c r="V71" s="13">
        <f>U64/U$69</f>
        <v>4.8938705931178716E-2</v>
      </c>
      <c r="Y71" s="13">
        <f>X64/X$69</f>
        <v>5.0903473018850558E-2</v>
      </c>
      <c r="AB71" s="13">
        <f>AA64/AA$69</f>
        <v>4.4353765256428854E-2</v>
      </c>
      <c r="AC71" s="37"/>
      <c r="AD71" s="38"/>
      <c r="AE71" s="13">
        <f>AD64/AD$69</f>
        <v>4.4948793414751234E-2</v>
      </c>
      <c r="AH71" s="13">
        <f>(V71+Y71+AB71+AE71)/4</f>
        <v>4.7286184405302342E-2</v>
      </c>
      <c r="AI71" s="59"/>
      <c r="AJ71" s="38"/>
      <c r="AK71" s="59"/>
      <c r="AL71" s="59"/>
      <c r="AM71" s="59"/>
      <c r="AN71" s="37"/>
      <c r="AO71" s="37"/>
      <c r="AP71" s="38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</row>
    <row r="72" spans="1:67" x14ac:dyDescent="0.2">
      <c r="D72" s="13">
        <f>C65/C$69</f>
        <v>4.1800786553695374E-2</v>
      </c>
      <c r="G72" s="13">
        <f>F65/F$69</f>
        <v>4.2170542861559066E-2</v>
      </c>
      <c r="J72" s="13">
        <f>I65/I$69</f>
        <v>4.8803082767564988E-2</v>
      </c>
      <c r="M72" s="13">
        <f>L65/L$69</f>
        <v>4.8563758245431951E-2</v>
      </c>
      <c r="P72" s="13">
        <f>O65/O$69</f>
        <v>4.9446523786005767E-2</v>
      </c>
      <c r="S72" s="13">
        <f>R65/R$69</f>
        <v>4.9332359111416028E-2</v>
      </c>
      <c r="V72" s="13">
        <f>U65/U$69</f>
        <v>4.8599212299905908E-2</v>
      </c>
      <c r="Y72" s="13">
        <f>X65/X$69</f>
        <v>5.0536482838186361E-2</v>
      </c>
      <c r="AB72" s="13">
        <f>AA65/AA$69</f>
        <v>4.4636678162800203E-2</v>
      </c>
      <c r="AE72" s="13">
        <f>AD65/AD$69</f>
        <v>4.5018705356491995E-2</v>
      </c>
      <c r="AH72" s="13">
        <f>(V72+Y72+AB72+AE72)/4</f>
        <v>4.719776966434612E-2</v>
      </c>
      <c r="AI72" s="59"/>
      <c r="AJ72" s="38"/>
      <c r="AK72" s="59"/>
      <c r="AL72" s="59"/>
      <c r="AM72" s="59"/>
      <c r="AN72" s="37"/>
      <c r="AO72" s="37"/>
      <c r="AP72" s="38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</row>
    <row r="73" spans="1:67" ht="15" x14ac:dyDescent="0.25">
      <c r="D73" s="13">
        <f>C66/C$69</f>
        <v>4.7449317172059649E-2</v>
      </c>
      <c r="G73" s="13">
        <f>F66/F$69</f>
        <v>4.7033202353589265E-2</v>
      </c>
      <c r="J73" s="13">
        <f>I66/I$69</f>
        <v>4.3119312560872466E-2</v>
      </c>
      <c r="M73" s="13">
        <f>L66/L$69</f>
        <v>4.3698849205376721E-2</v>
      </c>
      <c r="P73" s="13">
        <f>O66/O$69</f>
        <v>4.4468803352694812E-2</v>
      </c>
      <c r="S73" s="13">
        <f>R66/R$69</f>
        <v>4.409456751230232E-2</v>
      </c>
      <c r="V73" s="13">
        <f>U66/U$69</f>
        <v>4.3638560410932718E-2</v>
      </c>
      <c r="Y73" s="13">
        <f>X66/X$69</f>
        <v>4.4583789249070457E-2</v>
      </c>
      <c r="AB73" s="13">
        <f>AA66/AA$69</f>
        <v>3.9310334387501304E-2</v>
      </c>
      <c r="AE73" s="13">
        <f>AD66/AD$69</f>
        <v>4.0618850092266678E-2</v>
      </c>
      <c r="AH73" s="13">
        <f>(V73+Y73+AB73+AE73)/4</f>
        <v>4.203788353494279E-2</v>
      </c>
      <c r="AI73" s="59"/>
      <c r="AJ73" s="38"/>
      <c r="AK73" s="59"/>
      <c r="AL73" s="59"/>
      <c r="AM73" s="59"/>
      <c r="AN73" s="37"/>
      <c r="AO73" s="37"/>
      <c r="AP73" s="38"/>
      <c r="AQ73" s="37"/>
      <c r="AR73" s="37"/>
      <c r="AS73" s="37"/>
      <c r="AT73" s="37"/>
      <c r="AU73" s="99" t="s">
        <v>199</v>
      </c>
      <c r="AV73" s="37"/>
      <c r="AW73" s="37"/>
      <c r="AX73" s="37"/>
      <c r="AY73" s="37"/>
      <c r="AZ73" s="37"/>
      <c r="BA73" s="37"/>
      <c r="BB73" s="37"/>
      <c r="BC73" s="37" t="s">
        <v>213</v>
      </c>
      <c r="BD73" s="107">
        <v>42161</v>
      </c>
      <c r="BE73" s="38">
        <v>5588612.4498061668</v>
      </c>
      <c r="BF73" s="37" t="s">
        <v>213</v>
      </c>
      <c r="BG73" s="107">
        <v>42161</v>
      </c>
      <c r="BH73" s="38">
        <v>5588612.4498061668</v>
      </c>
      <c r="BI73" s="37"/>
    </row>
    <row r="74" spans="1:67" ht="13.5" customHeight="1" x14ac:dyDescent="0.25">
      <c r="D74" s="13">
        <f>C67/C$69</f>
        <v>4.6571635440084601E-2</v>
      </c>
      <c r="G74" s="13">
        <f>F67/F$69</f>
        <v>4.6571137530999472E-2</v>
      </c>
      <c r="J74" s="13">
        <f>I67/I$69</f>
        <v>4.7472885798747311E-2</v>
      </c>
      <c r="M74" s="13">
        <f>L67/L$69</f>
        <v>4.7156842786394731E-2</v>
      </c>
      <c r="P74" s="13">
        <f>O67/O$69</f>
        <v>5.1378261216705239E-2</v>
      </c>
      <c r="S74" s="13">
        <f>R67/R$69</f>
        <v>4.8778971272265333E-2</v>
      </c>
      <c r="V74" s="13">
        <f>U67/U$69</f>
        <v>4.8439368548251295E-2</v>
      </c>
      <c r="Y74" s="13">
        <f>X67/X$69</f>
        <v>4.8737274505082299E-2</v>
      </c>
      <c r="AB74" s="13">
        <f>AA67/AA$69</f>
        <v>4.5194284486882563E-2</v>
      </c>
      <c r="AE74" s="13">
        <f>AD67/AD$69</f>
        <v>4.6928523834237686E-2</v>
      </c>
      <c r="AH74" s="13">
        <f>(V74+Y74+AB74+AE74)/4</f>
        <v>4.7324862843613459E-2</v>
      </c>
      <c r="AI74" s="59"/>
      <c r="AJ74" s="38"/>
      <c r="AK74" s="59"/>
      <c r="AL74" s="59"/>
      <c r="AM74" s="59"/>
      <c r="AN74" s="37"/>
      <c r="AO74" s="37"/>
      <c r="AP74" s="38"/>
      <c r="AQ74" s="37"/>
      <c r="AR74" s="37"/>
      <c r="AS74" s="37"/>
      <c r="AT74" s="37"/>
      <c r="AU74" t="s">
        <v>196</v>
      </c>
      <c r="AX74" s="37"/>
      <c r="AY74" s="37"/>
      <c r="AZ74" s="37"/>
      <c r="BA74" s="37"/>
      <c r="BB74" s="37"/>
      <c r="BC74" s="37" t="s">
        <v>213</v>
      </c>
      <c r="BD74" s="107">
        <v>42175</v>
      </c>
      <c r="BE74" s="3">
        <v>5972989.2050807755</v>
      </c>
      <c r="BF74" s="37" t="s">
        <v>213</v>
      </c>
      <c r="BG74" s="107">
        <v>42175</v>
      </c>
      <c r="BH74" s="3">
        <v>5972989.2050807755</v>
      </c>
      <c r="BI74" s="37"/>
    </row>
    <row r="75" spans="1:67" ht="12.75" customHeight="1" x14ac:dyDescent="0.2">
      <c r="AJ75" s="3"/>
      <c r="AL75" s="59"/>
      <c r="AM75" s="59"/>
      <c r="AO75" s="37"/>
      <c r="AP75" s="38"/>
      <c r="AU75" t="s">
        <v>136</v>
      </c>
      <c r="AV75" s="3">
        <v>9242005.3300000001</v>
      </c>
      <c r="AW75" s="3"/>
      <c r="AX75" s="37"/>
      <c r="AY75" s="37"/>
      <c r="AZ75" s="37"/>
      <c r="BA75" s="37"/>
      <c r="BB75" s="37"/>
      <c r="BK75" s="3"/>
    </row>
    <row r="76" spans="1:67" x14ac:dyDescent="0.2">
      <c r="AC76" s="28">
        <v>38891</v>
      </c>
      <c r="AD76" s="27">
        <v>4787081.3399999877</v>
      </c>
      <c r="AJ76" s="3"/>
      <c r="AL76" s="59"/>
      <c r="AM76" s="59"/>
      <c r="AU76" t="s">
        <v>195</v>
      </c>
      <c r="AV76" s="98">
        <v>1309800.51</v>
      </c>
      <c r="AW76" s="3"/>
      <c r="AX76" s="3"/>
      <c r="AY76" s="3"/>
      <c r="AZ76" s="3"/>
      <c r="BA76" s="3"/>
      <c r="BB76" s="3"/>
      <c r="BK76" s="3"/>
    </row>
    <row r="77" spans="1:67" x14ac:dyDescent="0.2">
      <c r="AJ77" s="3"/>
      <c r="AL77" s="59"/>
      <c r="AM77" s="59"/>
      <c r="AV77" s="3">
        <f>SUM(AV75:AV76)</f>
        <v>10551805.84</v>
      </c>
      <c r="AW77" s="3"/>
      <c r="AX77" s="3"/>
      <c r="AY77" s="3"/>
      <c r="AZ77" s="3"/>
      <c r="BA77" s="3"/>
      <c r="BB77" s="3"/>
      <c r="BK77" s="3"/>
    </row>
    <row r="78" spans="1:67" x14ac:dyDescent="0.2">
      <c r="AJ78" s="3"/>
      <c r="AL78" s="59"/>
      <c r="AM78" s="59"/>
    </row>
    <row r="79" spans="1:67" x14ac:dyDescent="0.2">
      <c r="AL79" s="59"/>
      <c r="AM79" s="59"/>
    </row>
    <row r="80" spans="1:67" x14ac:dyDescent="0.2">
      <c r="AL80" s="59"/>
      <c r="AM80" s="59"/>
    </row>
    <row r="81" spans="38:39" x14ac:dyDescent="0.2">
      <c r="AL81" s="59"/>
      <c r="AM81" s="59"/>
    </row>
  </sheetData>
  <mergeCells count="27">
    <mergeCell ref="AC40:AD40"/>
    <mergeCell ref="AO40:AP40"/>
    <mergeCell ref="AO2:AP2"/>
    <mergeCell ref="AC2:AD2"/>
    <mergeCell ref="AR40:AS40"/>
    <mergeCell ref="AF2:AG2"/>
    <mergeCell ref="AL40:AM40"/>
    <mergeCell ref="AI40:AJ40"/>
    <mergeCell ref="AI2:AJ2"/>
    <mergeCell ref="T2:U2"/>
    <mergeCell ref="W2:X2"/>
    <mergeCell ref="W40:X40"/>
    <mergeCell ref="Z2:AA2"/>
    <mergeCell ref="Z40:AA40"/>
    <mergeCell ref="AF40:AG40"/>
    <mergeCell ref="BD40:BE40"/>
    <mergeCell ref="BG2:BH2"/>
    <mergeCell ref="BG40:BH40"/>
    <mergeCell ref="AU2:AV2"/>
    <mergeCell ref="AU40:AV40"/>
    <mergeCell ref="BD2:BE2"/>
    <mergeCell ref="AX2:AY2"/>
    <mergeCell ref="AX40:AY40"/>
    <mergeCell ref="BA2:BB2"/>
    <mergeCell ref="BA40:BB40"/>
    <mergeCell ref="AL2:AM2"/>
    <mergeCell ref="AR2:AS2"/>
  </mergeCells>
  <phoneticPr fontId="0" type="noConversion"/>
  <printOptions horizontalCentered="1"/>
  <pageMargins left="0" right="0" top="0" bottom="0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workbookViewId="0">
      <selection activeCell="B9" sqref="B9"/>
    </sheetView>
  </sheetViews>
  <sheetFormatPr defaultRowHeight="12.75" x14ac:dyDescent="0.2"/>
  <cols>
    <col min="1" max="1" width="40.7109375" customWidth="1"/>
    <col min="2" max="2" width="10.85546875" bestFit="1" customWidth="1"/>
    <col min="3" max="3" width="12.7109375" customWidth="1"/>
    <col min="4" max="13" width="10.7109375" bestFit="1" customWidth="1"/>
  </cols>
  <sheetData>
    <row r="1" spans="1:14" x14ac:dyDescent="0.2">
      <c r="B1" s="88" t="s">
        <v>202</v>
      </c>
      <c r="C1" s="88"/>
    </row>
    <row r="3" spans="1:14" x14ac:dyDescent="0.2">
      <c r="B3" t="s">
        <v>17</v>
      </c>
      <c r="C3" t="s">
        <v>114</v>
      </c>
      <c r="D3" t="s">
        <v>119</v>
      </c>
      <c r="E3" t="s">
        <v>115</v>
      </c>
      <c r="F3" t="s">
        <v>116</v>
      </c>
      <c r="G3" t="s">
        <v>117</v>
      </c>
      <c r="H3" t="s">
        <v>118</v>
      </c>
      <c r="I3" t="s">
        <v>120</v>
      </c>
      <c r="J3" t="s">
        <v>27</v>
      </c>
      <c r="K3" t="s">
        <v>28</v>
      </c>
      <c r="L3" t="s">
        <v>18</v>
      </c>
      <c r="M3" t="s">
        <v>29</v>
      </c>
    </row>
    <row r="4" spans="1:14" x14ac:dyDescent="0.2">
      <c r="A4" t="s">
        <v>110</v>
      </c>
      <c r="B4" s="78">
        <v>7.5219999999999995E-2</v>
      </c>
      <c r="C4" s="78">
        <v>9.5875000000000002E-2</v>
      </c>
      <c r="D4" s="78">
        <v>8.6904999999999996E-2</v>
      </c>
      <c r="E4" s="78">
        <v>8.7475999999999998E-2</v>
      </c>
      <c r="F4" s="78">
        <v>8.2588999999999996E-2</v>
      </c>
      <c r="G4" s="78">
        <v>6.9898000000000002E-2</v>
      </c>
      <c r="H4" s="78">
        <v>7.0472000000000007E-2</v>
      </c>
      <c r="I4" s="78">
        <v>6.5836000000000006E-2</v>
      </c>
      <c r="J4" s="78">
        <v>7.8111E-2</v>
      </c>
      <c r="K4" s="78">
        <v>8.2052E-2</v>
      </c>
      <c r="L4" s="78">
        <v>8.8633000000000003E-2</v>
      </c>
      <c r="M4" s="78">
        <v>0.116933</v>
      </c>
      <c r="N4">
        <f t="shared" ref="N4:N9" si="0">SUM(B4:M4)</f>
        <v>1</v>
      </c>
    </row>
    <row r="5" spans="1:14" x14ac:dyDescent="0.2">
      <c r="A5" t="s">
        <v>138</v>
      </c>
      <c r="B5" s="78">
        <v>7.2932999999999998E-2</v>
      </c>
      <c r="C5" s="78">
        <v>0.117095</v>
      </c>
      <c r="D5" s="78">
        <v>7.7146000000000006E-2</v>
      </c>
      <c r="E5" s="78">
        <v>8.2929000000000003E-2</v>
      </c>
      <c r="F5" s="78">
        <v>7.3217000000000004E-2</v>
      </c>
      <c r="G5" s="78">
        <v>7.8337000000000004E-2</v>
      </c>
      <c r="H5" s="78">
        <v>9.9598000000000006E-2</v>
      </c>
      <c r="I5" s="78">
        <v>8.4320999999999993E-2</v>
      </c>
      <c r="J5" s="78">
        <v>8.1779000000000004E-2</v>
      </c>
      <c r="K5" s="78">
        <v>7.5536000000000006E-2</v>
      </c>
      <c r="L5" s="78">
        <v>8.1743999999999997E-2</v>
      </c>
      <c r="M5" s="78">
        <v>7.5365000000000001E-2</v>
      </c>
      <c r="N5">
        <f t="shared" si="0"/>
        <v>1</v>
      </c>
    </row>
    <row r="6" spans="1:14" x14ac:dyDescent="0.2">
      <c r="A6" t="s">
        <v>113</v>
      </c>
      <c r="B6" s="78">
        <v>7.2454000000000005E-2</v>
      </c>
      <c r="C6" s="78">
        <v>0.100191</v>
      </c>
      <c r="D6" s="78">
        <v>9.6901000000000001E-2</v>
      </c>
      <c r="E6" s="78">
        <v>0.108545</v>
      </c>
      <c r="F6" s="78">
        <v>8.1619999999999998E-2</v>
      </c>
      <c r="G6" s="78">
        <v>7.5165999999999997E-2</v>
      </c>
      <c r="H6" s="78">
        <v>6.7602999999999996E-2</v>
      </c>
      <c r="I6" s="78">
        <v>6.1615000000000003E-2</v>
      </c>
      <c r="J6" s="78">
        <v>6.6651000000000002E-2</v>
      </c>
      <c r="K6" s="78">
        <v>7.3256000000000002E-2</v>
      </c>
      <c r="L6" s="78">
        <v>7.8556000000000001E-2</v>
      </c>
      <c r="M6" s="78">
        <v>0.117442</v>
      </c>
      <c r="N6">
        <f t="shared" si="0"/>
        <v>0.99999999999999989</v>
      </c>
    </row>
    <row r="7" spans="1:14" x14ac:dyDescent="0.2">
      <c r="A7" t="s">
        <v>82</v>
      </c>
      <c r="B7" s="78">
        <v>8.2903000000000004E-2</v>
      </c>
      <c r="C7" s="78">
        <v>6.6210000000000005E-2</v>
      </c>
      <c r="D7" s="78">
        <v>6.6181000000000004E-2</v>
      </c>
      <c r="E7" s="78">
        <v>9.3085000000000001E-2</v>
      </c>
      <c r="F7" s="78">
        <v>7.1273000000000003E-2</v>
      </c>
      <c r="G7" s="78">
        <v>7.4395000000000003E-2</v>
      </c>
      <c r="H7" s="78">
        <v>5.7404999999999998E-2</v>
      </c>
      <c r="I7" s="78">
        <v>6.4541000000000001E-2</v>
      </c>
      <c r="J7" s="78">
        <v>8.4369E-2</v>
      </c>
      <c r="K7" s="78">
        <v>8.9585999999999999E-2</v>
      </c>
      <c r="L7" s="78">
        <v>0.106063</v>
      </c>
      <c r="M7" s="78">
        <v>0.14398900000000001</v>
      </c>
      <c r="N7">
        <f t="shared" si="0"/>
        <v>1</v>
      </c>
    </row>
    <row r="8" spans="1:14" x14ac:dyDescent="0.2">
      <c r="A8" t="s">
        <v>84</v>
      </c>
      <c r="B8" s="78">
        <v>6.4295000000000005E-2</v>
      </c>
      <c r="C8" s="78">
        <v>4.9574E-2</v>
      </c>
      <c r="D8" s="78">
        <v>5.0354000000000003E-2</v>
      </c>
      <c r="E8" s="78">
        <v>9.8576999999999998E-2</v>
      </c>
      <c r="F8" s="78">
        <v>7.0656999999999998E-2</v>
      </c>
      <c r="G8" s="78">
        <v>6.4243999999999996E-2</v>
      </c>
      <c r="H8" s="78">
        <v>6.1816000000000003E-2</v>
      </c>
      <c r="I8" s="78">
        <v>0.100732</v>
      </c>
      <c r="J8" s="78">
        <v>9.2298000000000005E-2</v>
      </c>
      <c r="K8" s="78">
        <v>9.8789000000000002E-2</v>
      </c>
      <c r="L8" s="78">
        <v>0.10394100000000001</v>
      </c>
      <c r="M8" s="78">
        <v>0.14472299999999999</v>
      </c>
      <c r="N8">
        <f t="shared" si="0"/>
        <v>1</v>
      </c>
    </row>
    <row r="9" spans="1:14" x14ac:dyDescent="0.2">
      <c r="A9" t="s">
        <v>121</v>
      </c>
      <c r="B9" s="94">
        <v>0.11065700000000001</v>
      </c>
      <c r="C9" s="94">
        <v>0.11233</v>
      </c>
      <c r="D9" s="94">
        <v>0.103452</v>
      </c>
      <c r="E9" s="94">
        <v>8.6348999999999995E-2</v>
      </c>
      <c r="F9" s="78">
        <v>7.0921999999999999E-2</v>
      </c>
      <c r="G9" s="78">
        <v>5.5334000000000001E-2</v>
      </c>
      <c r="H9" s="78">
        <v>6.3244999999999996E-2</v>
      </c>
      <c r="I9" s="78">
        <v>5.3580000000000003E-2</v>
      </c>
      <c r="J9" s="78">
        <v>6.7529000000000006E-2</v>
      </c>
      <c r="K9" s="78">
        <v>7.7755000000000005E-2</v>
      </c>
      <c r="L9" s="78">
        <v>9.5097000000000001E-2</v>
      </c>
      <c r="M9" s="78">
        <v>0.10375</v>
      </c>
      <c r="N9">
        <f t="shared" si="0"/>
        <v>1</v>
      </c>
    </row>
    <row r="15" spans="1:14" x14ac:dyDescent="0.2">
      <c r="H15" s="95"/>
    </row>
    <row r="16" spans="1:14" x14ac:dyDescent="0.2">
      <c r="B16" s="22"/>
      <c r="C16" s="101" t="s">
        <v>123</v>
      </c>
      <c r="D16" s="101" t="s">
        <v>34</v>
      </c>
      <c r="E16" s="101" t="s">
        <v>125</v>
      </c>
      <c r="F16" s="101"/>
      <c r="G16" s="101"/>
      <c r="H16" s="102" t="s">
        <v>129</v>
      </c>
    </row>
    <row r="17" spans="2:8" x14ac:dyDescent="0.2">
      <c r="B17" s="22"/>
      <c r="C17" s="103" t="s">
        <v>122</v>
      </c>
      <c r="D17" s="103" t="s">
        <v>124</v>
      </c>
      <c r="E17" s="103" t="s">
        <v>126</v>
      </c>
      <c r="F17" s="103" t="s">
        <v>127</v>
      </c>
      <c r="G17" s="103" t="s">
        <v>128</v>
      </c>
      <c r="H17" s="104" t="s">
        <v>130</v>
      </c>
    </row>
    <row r="18" spans="2:8" x14ac:dyDescent="0.2">
      <c r="B18" s="22" t="s">
        <v>17</v>
      </c>
      <c r="C18" s="69">
        <f>B4</f>
        <v>7.5219999999999995E-2</v>
      </c>
      <c r="D18" s="69">
        <f>B5</f>
        <v>7.2932999999999998E-2</v>
      </c>
      <c r="E18" s="69">
        <f>B6</f>
        <v>7.2454000000000005E-2</v>
      </c>
      <c r="F18" s="69">
        <f>B7</f>
        <v>8.2903000000000004E-2</v>
      </c>
      <c r="G18" s="69">
        <f>B8</f>
        <v>6.4295000000000005E-2</v>
      </c>
      <c r="H18" s="90">
        <f>B9</f>
        <v>0.11065700000000001</v>
      </c>
    </row>
    <row r="19" spans="2:8" x14ac:dyDescent="0.2">
      <c r="B19" s="22" t="s">
        <v>20</v>
      </c>
      <c r="C19" s="69">
        <f>C4</f>
        <v>9.5875000000000002E-2</v>
      </c>
      <c r="D19" s="69">
        <f>C5</f>
        <v>0.117095</v>
      </c>
      <c r="E19" s="69">
        <f>C6</f>
        <v>0.100191</v>
      </c>
      <c r="F19" s="69">
        <f>C7</f>
        <v>6.6210000000000005E-2</v>
      </c>
      <c r="G19" s="69">
        <f>C8</f>
        <v>4.9574E-2</v>
      </c>
      <c r="H19" s="90">
        <f>C9</f>
        <v>0.11233</v>
      </c>
    </row>
    <row r="20" spans="2:8" x14ac:dyDescent="0.2">
      <c r="B20" s="22" t="s">
        <v>21</v>
      </c>
      <c r="C20" s="69">
        <f>D4</f>
        <v>8.6904999999999996E-2</v>
      </c>
      <c r="D20" s="69">
        <f>D5</f>
        <v>7.7146000000000006E-2</v>
      </c>
      <c r="E20" s="69">
        <f>D6</f>
        <v>9.6901000000000001E-2</v>
      </c>
      <c r="F20" s="69">
        <f>D7</f>
        <v>6.6181000000000004E-2</v>
      </c>
      <c r="G20" s="69">
        <f>D8</f>
        <v>5.0354000000000003E-2</v>
      </c>
      <c r="H20" s="90">
        <f>D9</f>
        <v>0.103452</v>
      </c>
    </row>
    <row r="21" spans="2:8" x14ac:dyDescent="0.2">
      <c r="B21" s="22" t="s">
        <v>22</v>
      </c>
      <c r="C21" s="69">
        <f>E4</f>
        <v>8.7475999999999998E-2</v>
      </c>
      <c r="D21" s="69">
        <f>E5</f>
        <v>8.2929000000000003E-2</v>
      </c>
      <c r="E21" s="69">
        <f>E6</f>
        <v>0.108545</v>
      </c>
      <c r="F21" s="69">
        <f>E7</f>
        <v>9.3085000000000001E-2</v>
      </c>
      <c r="G21" s="69">
        <f>E8</f>
        <v>9.8576999999999998E-2</v>
      </c>
      <c r="H21" s="90">
        <f>E9</f>
        <v>8.6348999999999995E-2</v>
      </c>
    </row>
    <row r="22" spans="2:8" x14ac:dyDescent="0.2">
      <c r="B22" s="22" t="s">
        <v>23</v>
      </c>
      <c r="C22" s="69">
        <f>F4</f>
        <v>8.2588999999999996E-2</v>
      </c>
      <c r="D22" s="69">
        <f>F5</f>
        <v>7.3217000000000004E-2</v>
      </c>
      <c r="E22" s="69">
        <f>F6</f>
        <v>8.1619999999999998E-2</v>
      </c>
      <c r="F22" s="69">
        <f>F7</f>
        <v>7.1273000000000003E-2</v>
      </c>
      <c r="G22" s="69">
        <f>F8</f>
        <v>7.0656999999999998E-2</v>
      </c>
      <c r="H22" s="90">
        <f>F9</f>
        <v>7.0921999999999999E-2</v>
      </c>
    </row>
    <row r="23" spans="2:8" x14ac:dyDescent="0.2">
      <c r="B23" s="22" t="s">
        <v>24</v>
      </c>
      <c r="C23" s="69">
        <f>G4</f>
        <v>6.9898000000000002E-2</v>
      </c>
      <c r="D23" s="69">
        <f>G5</f>
        <v>7.8337000000000004E-2</v>
      </c>
      <c r="E23" s="69">
        <f>G6</f>
        <v>7.5165999999999997E-2</v>
      </c>
      <c r="F23" s="69">
        <f>G7</f>
        <v>7.4395000000000003E-2</v>
      </c>
      <c r="G23" s="69">
        <f>G8</f>
        <v>6.4243999999999996E-2</v>
      </c>
      <c r="H23" s="90">
        <f>G9</f>
        <v>5.5334000000000001E-2</v>
      </c>
    </row>
    <row r="24" spans="2:8" x14ac:dyDescent="0.2">
      <c r="B24" s="22" t="s">
        <v>25</v>
      </c>
      <c r="C24" s="69">
        <f>H4</f>
        <v>7.0472000000000007E-2</v>
      </c>
      <c r="D24" s="69">
        <f>H5</f>
        <v>9.9598000000000006E-2</v>
      </c>
      <c r="E24" s="69">
        <f>H6</f>
        <v>6.7602999999999996E-2</v>
      </c>
      <c r="F24" s="69">
        <f>H7</f>
        <v>5.7404999999999998E-2</v>
      </c>
      <c r="G24" s="69">
        <f>H8</f>
        <v>6.1816000000000003E-2</v>
      </c>
      <c r="H24" s="90">
        <f>H9</f>
        <v>6.3244999999999996E-2</v>
      </c>
    </row>
    <row r="25" spans="2:8" x14ac:dyDescent="0.2">
      <c r="B25" s="22" t="s">
        <v>26</v>
      </c>
      <c r="C25" s="69">
        <f>I4</f>
        <v>6.5836000000000006E-2</v>
      </c>
      <c r="D25" s="69">
        <f>I5</f>
        <v>8.4320999999999993E-2</v>
      </c>
      <c r="E25" s="69">
        <f>I6</f>
        <v>6.1615000000000003E-2</v>
      </c>
      <c r="F25" s="69">
        <f>I7</f>
        <v>6.4541000000000001E-2</v>
      </c>
      <c r="G25" s="69">
        <f>I8</f>
        <v>0.100732</v>
      </c>
      <c r="H25" s="90">
        <f>I9</f>
        <v>5.3580000000000003E-2</v>
      </c>
    </row>
    <row r="26" spans="2:8" x14ac:dyDescent="0.2">
      <c r="B26" s="22" t="s">
        <v>27</v>
      </c>
      <c r="C26" s="69">
        <f>J4</f>
        <v>7.8111E-2</v>
      </c>
      <c r="D26" s="69">
        <f>J5</f>
        <v>8.1779000000000004E-2</v>
      </c>
      <c r="E26" s="69">
        <f>J6</f>
        <v>6.6651000000000002E-2</v>
      </c>
      <c r="F26" s="69">
        <f>J7</f>
        <v>8.4369E-2</v>
      </c>
      <c r="G26" s="69">
        <f>J8</f>
        <v>9.2298000000000005E-2</v>
      </c>
      <c r="H26" s="90">
        <f>J9</f>
        <v>6.7529000000000006E-2</v>
      </c>
    </row>
    <row r="27" spans="2:8" x14ac:dyDescent="0.2">
      <c r="B27" s="22" t="s">
        <v>28</v>
      </c>
      <c r="C27" s="69">
        <f>K4</f>
        <v>8.2052E-2</v>
      </c>
      <c r="D27" s="69">
        <f>K5</f>
        <v>7.5536000000000006E-2</v>
      </c>
      <c r="E27" s="69">
        <f>K6</f>
        <v>7.3256000000000002E-2</v>
      </c>
      <c r="F27" s="69">
        <f>K7</f>
        <v>8.9585999999999999E-2</v>
      </c>
      <c r="G27" s="69">
        <f>K8</f>
        <v>9.8789000000000002E-2</v>
      </c>
      <c r="H27" s="90">
        <f>K9</f>
        <v>7.7755000000000005E-2</v>
      </c>
    </row>
    <row r="28" spans="2:8" x14ac:dyDescent="0.2">
      <c r="B28" s="22" t="s">
        <v>18</v>
      </c>
      <c r="C28" s="69">
        <f>L4</f>
        <v>8.8633000000000003E-2</v>
      </c>
      <c r="D28" s="69">
        <f>L5</f>
        <v>8.1743999999999997E-2</v>
      </c>
      <c r="E28" s="69">
        <f>L6</f>
        <v>7.8556000000000001E-2</v>
      </c>
      <c r="F28" s="69">
        <f>L7</f>
        <v>0.106063</v>
      </c>
      <c r="G28" s="69">
        <f>L8</f>
        <v>0.10394100000000001</v>
      </c>
      <c r="H28" s="90">
        <f>L9</f>
        <v>9.5097000000000001E-2</v>
      </c>
    </row>
    <row r="29" spans="2:8" x14ac:dyDescent="0.2">
      <c r="B29" s="22" t="s">
        <v>29</v>
      </c>
      <c r="C29" s="69">
        <f>M4</f>
        <v>0.116933</v>
      </c>
      <c r="D29" s="69">
        <f>M5</f>
        <v>7.5365000000000001E-2</v>
      </c>
      <c r="E29" s="69">
        <f>M6</f>
        <v>0.117442</v>
      </c>
      <c r="F29" s="69">
        <f>M7</f>
        <v>0.14398900000000001</v>
      </c>
      <c r="G29" s="69">
        <f>M8</f>
        <v>0.14472299999999999</v>
      </c>
      <c r="H29" s="90">
        <f>M9</f>
        <v>0.10375</v>
      </c>
    </row>
    <row r="30" spans="2:8" ht="13.5" thickBot="1" x14ac:dyDescent="0.25">
      <c r="B30" s="22"/>
      <c r="C30" s="70">
        <f t="shared" ref="C30:H30" si="1">SUM(C18:C29)</f>
        <v>1</v>
      </c>
      <c r="D30" s="70">
        <f t="shared" si="1"/>
        <v>1</v>
      </c>
      <c r="E30" s="70">
        <f t="shared" si="1"/>
        <v>0.99999999999999989</v>
      </c>
      <c r="F30" s="70">
        <f t="shared" si="1"/>
        <v>1</v>
      </c>
      <c r="G30" s="70">
        <f t="shared" si="1"/>
        <v>1</v>
      </c>
      <c r="H30" s="91">
        <f t="shared" si="1"/>
        <v>1</v>
      </c>
    </row>
    <row r="31" spans="2:8" ht="13.5" thickTop="1" x14ac:dyDescent="0.2">
      <c r="H31" s="88"/>
    </row>
  </sheetData>
  <pageMargins left="0" right="0" top="1" bottom="1" header="0.5" footer="0.5"/>
  <pageSetup scale="80" orientation="landscape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workbookViewId="0">
      <selection activeCell="L23" sqref="L23"/>
    </sheetView>
  </sheetViews>
  <sheetFormatPr defaultRowHeight="12.75" x14ac:dyDescent="0.2"/>
  <cols>
    <col min="1" max="1" width="40.7109375" customWidth="1"/>
    <col min="2" max="2" width="10.85546875" bestFit="1" customWidth="1"/>
    <col min="3" max="3" width="12.7109375" customWidth="1"/>
    <col min="4" max="13" width="10.7109375" bestFit="1" customWidth="1"/>
  </cols>
  <sheetData>
    <row r="1" spans="1:14" x14ac:dyDescent="0.2">
      <c r="B1" s="88" t="s">
        <v>194</v>
      </c>
      <c r="C1" s="88"/>
    </row>
    <row r="3" spans="1:14" x14ac:dyDescent="0.2">
      <c r="B3" t="s">
        <v>17</v>
      </c>
      <c r="C3" t="s">
        <v>114</v>
      </c>
      <c r="D3" t="s">
        <v>119</v>
      </c>
      <c r="E3" t="s">
        <v>115</v>
      </c>
      <c r="F3" t="s">
        <v>116</v>
      </c>
      <c r="G3" t="s">
        <v>117</v>
      </c>
      <c r="H3" t="s">
        <v>118</v>
      </c>
      <c r="I3" t="s">
        <v>120</v>
      </c>
      <c r="J3" t="s">
        <v>27</v>
      </c>
      <c r="K3" t="s">
        <v>28</v>
      </c>
      <c r="L3" t="s">
        <v>18</v>
      </c>
      <c r="M3" t="s">
        <v>29</v>
      </c>
    </row>
    <row r="4" spans="1:14" x14ac:dyDescent="0.2">
      <c r="A4" t="s">
        <v>110</v>
      </c>
      <c r="B4" s="78">
        <v>7.1663000000000004E-2</v>
      </c>
      <c r="C4" s="78">
        <v>0.102364</v>
      </c>
      <c r="D4" s="78">
        <v>8.8718000000000005E-2</v>
      </c>
      <c r="E4" s="78">
        <v>9.4534000000000007E-2</v>
      </c>
      <c r="F4" s="78">
        <v>8.3557999999999993E-2</v>
      </c>
      <c r="G4" s="78">
        <v>6.4847000000000002E-2</v>
      </c>
      <c r="H4" s="78">
        <v>6.9915000000000005E-2</v>
      </c>
      <c r="I4" s="78">
        <v>6.5911999999999998E-2</v>
      </c>
      <c r="J4" s="78">
        <v>7.5983999999999996E-2</v>
      </c>
      <c r="K4" s="78">
        <v>8.3096000000000003E-2</v>
      </c>
      <c r="L4" s="78">
        <v>8.5752999999999996E-2</v>
      </c>
      <c r="M4" s="78">
        <v>0.11365599999999999</v>
      </c>
      <c r="N4">
        <f>SUM(B4:M4)</f>
        <v>1</v>
      </c>
    </row>
    <row r="5" spans="1:14" x14ac:dyDescent="0.2">
      <c r="A5" t="s">
        <v>138</v>
      </c>
      <c r="B5" s="78">
        <v>7.4010999999999993E-2</v>
      </c>
      <c r="C5" s="78">
        <v>0.117392</v>
      </c>
      <c r="D5" s="78">
        <v>7.7145000000000005E-2</v>
      </c>
      <c r="E5" s="78">
        <v>8.3259E-2</v>
      </c>
      <c r="F5" s="78">
        <v>7.3200000000000001E-2</v>
      </c>
      <c r="G5" s="78">
        <v>7.5065999999999994E-2</v>
      </c>
      <c r="H5" s="78">
        <v>6.2825000000000006E-2</v>
      </c>
      <c r="I5" s="78">
        <v>8.3820000000000006E-2</v>
      </c>
      <c r="J5" s="78">
        <v>0.119854</v>
      </c>
      <c r="K5" s="78">
        <v>7.6076000000000005E-2</v>
      </c>
      <c r="L5" s="78">
        <v>8.0988000000000004E-2</v>
      </c>
      <c r="M5" s="78">
        <v>7.6364000000000001E-2</v>
      </c>
      <c r="N5">
        <f>SUM(B5:M5)</f>
        <v>1.0000000000000002</v>
      </c>
    </row>
    <row r="6" spans="1:14" x14ac:dyDescent="0.2">
      <c r="A6" t="s">
        <v>113</v>
      </c>
      <c r="B6" s="78">
        <v>5.9081000000000002E-2</v>
      </c>
      <c r="C6" s="78">
        <v>0.101091</v>
      </c>
      <c r="D6" s="78">
        <v>0.103079</v>
      </c>
      <c r="E6" s="78">
        <v>0.107613</v>
      </c>
      <c r="F6" s="78">
        <v>8.4289000000000003E-2</v>
      </c>
      <c r="G6" s="78">
        <v>7.9665E-2</v>
      </c>
      <c r="H6" s="78">
        <v>5.6852E-2</v>
      </c>
      <c r="I6" s="78">
        <v>8.3094000000000001E-2</v>
      </c>
      <c r="J6" s="78">
        <v>8.0339999999999995E-2</v>
      </c>
      <c r="K6" s="78">
        <v>6.8658999999999998E-2</v>
      </c>
      <c r="L6" s="78">
        <v>7.4742000000000003E-2</v>
      </c>
      <c r="M6" s="78">
        <v>0.101495</v>
      </c>
      <c r="N6">
        <f>SUM(B6:M6)</f>
        <v>1</v>
      </c>
    </row>
    <row r="7" spans="1:14" x14ac:dyDescent="0.2">
      <c r="A7" t="s">
        <v>82</v>
      </c>
      <c r="B7" s="78">
        <v>9.5746999999999999E-2</v>
      </c>
      <c r="C7" s="78">
        <v>7.3653999999999997E-2</v>
      </c>
      <c r="D7" s="78">
        <v>6.9454000000000002E-2</v>
      </c>
      <c r="E7" s="78">
        <v>8.1379000000000007E-2</v>
      </c>
      <c r="F7" s="78">
        <v>7.9200000000000007E-2</v>
      </c>
      <c r="G7" s="78">
        <v>7.6525999999999997E-2</v>
      </c>
      <c r="H7" s="78">
        <v>7.0782999999999999E-2</v>
      </c>
      <c r="I7" s="78">
        <v>6.1074000000000003E-2</v>
      </c>
      <c r="J7" s="78">
        <v>8.6095000000000005E-2</v>
      </c>
      <c r="K7" s="78">
        <v>7.6421000000000003E-2</v>
      </c>
      <c r="L7" s="78">
        <v>9.5781000000000005E-2</v>
      </c>
      <c r="M7" s="78">
        <v>0.13388600000000001</v>
      </c>
      <c r="N7">
        <f>SUM(B7:M7)</f>
        <v>1</v>
      </c>
    </row>
    <row r="8" spans="1:14" x14ac:dyDescent="0.2">
      <c r="A8" t="s">
        <v>84</v>
      </c>
      <c r="B8" s="78">
        <v>5.2627E-2</v>
      </c>
      <c r="C8" s="78">
        <v>5.7480999999999997E-2</v>
      </c>
      <c r="D8" s="78">
        <v>5.1630000000000002E-2</v>
      </c>
      <c r="E8" s="78">
        <v>9.1866000000000003E-2</v>
      </c>
      <c r="F8" s="78">
        <v>7.3308999999999999E-2</v>
      </c>
      <c r="G8" s="78">
        <v>7.0789000000000005E-2</v>
      </c>
      <c r="H8" s="78">
        <v>6.5671999999999994E-2</v>
      </c>
      <c r="I8" s="78">
        <v>0.10352699999999999</v>
      </c>
      <c r="J8" s="78">
        <v>8.8204000000000005E-2</v>
      </c>
      <c r="K8" s="78">
        <v>8.7567000000000006E-2</v>
      </c>
      <c r="L8" s="78">
        <v>0.10882</v>
      </c>
      <c r="M8" s="78">
        <v>0.148508</v>
      </c>
      <c r="N8">
        <f>SUM(B8:M8)</f>
        <v>1</v>
      </c>
    </row>
    <row r="9" spans="1:14" x14ac:dyDescent="0.2">
      <c r="A9" t="s">
        <v>121</v>
      </c>
      <c r="B9" s="94"/>
      <c r="C9" s="94"/>
      <c r="D9" s="94"/>
      <c r="E9" s="94"/>
      <c r="F9" s="78"/>
      <c r="G9" s="78"/>
      <c r="H9" s="78"/>
      <c r="I9" s="78"/>
      <c r="J9" s="78"/>
      <c r="K9" s="78"/>
      <c r="L9" s="78"/>
      <c r="M9" s="78"/>
    </row>
    <row r="15" spans="1:14" x14ac:dyDescent="0.2">
      <c r="H15" s="95"/>
    </row>
    <row r="16" spans="1:14" x14ac:dyDescent="0.2">
      <c r="B16" s="22"/>
      <c r="C16" s="101" t="s">
        <v>123</v>
      </c>
      <c r="D16" s="101" t="s">
        <v>34</v>
      </c>
      <c r="E16" s="101" t="s">
        <v>125</v>
      </c>
      <c r="F16" s="101"/>
      <c r="G16" s="101"/>
      <c r="H16" s="102" t="s">
        <v>129</v>
      </c>
    </row>
    <row r="17" spans="2:8" x14ac:dyDescent="0.2">
      <c r="B17" s="22"/>
      <c r="C17" s="103" t="s">
        <v>122</v>
      </c>
      <c r="D17" s="103" t="s">
        <v>124</v>
      </c>
      <c r="E17" s="103" t="s">
        <v>126</v>
      </c>
      <c r="F17" s="103" t="s">
        <v>127</v>
      </c>
      <c r="G17" s="103" t="s">
        <v>128</v>
      </c>
      <c r="H17" s="104" t="s">
        <v>130</v>
      </c>
    </row>
    <row r="18" spans="2:8" x14ac:dyDescent="0.2">
      <c r="B18" s="22" t="s">
        <v>17</v>
      </c>
      <c r="C18" s="69">
        <f>B4</f>
        <v>7.1663000000000004E-2</v>
      </c>
      <c r="D18" s="69">
        <f>B5</f>
        <v>7.4010999999999993E-2</v>
      </c>
      <c r="E18" s="69">
        <f>B6</f>
        <v>5.9081000000000002E-2</v>
      </c>
      <c r="F18" s="69">
        <f>B7</f>
        <v>9.5746999999999999E-2</v>
      </c>
      <c r="G18" s="69">
        <f>B8</f>
        <v>5.2627E-2</v>
      </c>
      <c r="H18" s="90">
        <v>0.106979</v>
      </c>
    </row>
    <row r="19" spans="2:8" x14ac:dyDescent="0.2">
      <c r="B19" s="22" t="s">
        <v>20</v>
      </c>
      <c r="C19" s="69">
        <f>C4</f>
        <v>0.102364</v>
      </c>
      <c r="D19" s="69">
        <f>C5</f>
        <v>0.117392</v>
      </c>
      <c r="E19" s="69">
        <f>C6</f>
        <v>0.101091</v>
      </c>
      <c r="F19" s="69">
        <f>C7</f>
        <v>7.3653999999999997E-2</v>
      </c>
      <c r="G19" s="69">
        <f>C8</f>
        <v>5.7480999999999997E-2</v>
      </c>
      <c r="H19" s="90">
        <v>0.10678600000000001</v>
      </c>
    </row>
    <row r="20" spans="2:8" x14ac:dyDescent="0.2">
      <c r="B20" s="22" t="s">
        <v>21</v>
      </c>
      <c r="C20" s="69">
        <f>D4</f>
        <v>8.8718000000000005E-2</v>
      </c>
      <c r="D20" s="69">
        <f>D5</f>
        <v>7.7145000000000005E-2</v>
      </c>
      <c r="E20" s="69">
        <f>D6</f>
        <v>0.103079</v>
      </c>
      <c r="F20" s="69">
        <f>D7</f>
        <v>6.9454000000000002E-2</v>
      </c>
      <c r="G20" s="69">
        <f>D8</f>
        <v>5.1630000000000002E-2</v>
      </c>
      <c r="H20" s="90">
        <v>9.7047999999999995E-2</v>
      </c>
    </row>
    <row r="21" spans="2:8" x14ac:dyDescent="0.2">
      <c r="B21" s="22" t="s">
        <v>22</v>
      </c>
      <c r="C21" s="69">
        <f>E4</f>
        <v>9.4534000000000007E-2</v>
      </c>
      <c r="D21" s="69">
        <f>E5</f>
        <v>8.3259E-2</v>
      </c>
      <c r="E21" s="69">
        <f>E6</f>
        <v>0.107613</v>
      </c>
      <c r="F21" s="69">
        <f>E7</f>
        <v>8.1379000000000007E-2</v>
      </c>
      <c r="G21" s="69">
        <f>E8</f>
        <v>9.1866000000000003E-2</v>
      </c>
      <c r="H21" s="90">
        <v>8.8686000000000001E-2</v>
      </c>
    </row>
    <row r="22" spans="2:8" x14ac:dyDescent="0.2">
      <c r="B22" s="22" t="s">
        <v>23</v>
      </c>
      <c r="C22" s="69">
        <f>F4</f>
        <v>8.3557999999999993E-2</v>
      </c>
      <c r="D22" s="69">
        <f>F5</f>
        <v>7.3200000000000001E-2</v>
      </c>
      <c r="E22" s="69">
        <f>F6</f>
        <v>8.4289000000000003E-2</v>
      </c>
      <c r="F22" s="69">
        <f>F7</f>
        <v>7.9200000000000007E-2</v>
      </c>
      <c r="G22" s="69">
        <f>F8</f>
        <v>7.3308999999999999E-2</v>
      </c>
      <c r="H22" s="90">
        <v>7.9603999999999994E-2</v>
      </c>
    </row>
    <row r="23" spans="2:8" x14ac:dyDescent="0.2">
      <c r="B23" s="22" t="s">
        <v>24</v>
      </c>
      <c r="C23" s="69">
        <f>G4</f>
        <v>6.4847000000000002E-2</v>
      </c>
      <c r="D23" s="69">
        <f>G5</f>
        <v>7.5065999999999994E-2</v>
      </c>
      <c r="E23" s="69">
        <f>G6</f>
        <v>7.9665E-2</v>
      </c>
      <c r="F23" s="69">
        <f>G7</f>
        <v>7.6525999999999997E-2</v>
      </c>
      <c r="G23" s="69">
        <f>G8</f>
        <v>7.0789000000000005E-2</v>
      </c>
      <c r="H23" s="90">
        <v>5.7856999999999999E-2</v>
      </c>
    </row>
    <row r="24" spans="2:8" x14ac:dyDescent="0.2">
      <c r="B24" s="22" t="s">
        <v>25</v>
      </c>
      <c r="C24" s="69">
        <f>H4</f>
        <v>6.9915000000000005E-2</v>
      </c>
      <c r="D24" s="69">
        <f>H5</f>
        <v>6.2825000000000006E-2</v>
      </c>
      <c r="E24" s="69">
        <f>H6</f>
        <v>5.6852E-2</v>
      </c>
      <c r="F24" s="69">
        <f>H7</f>
        <v>7.0782999999999999E-2</v>
      </c>
      <c r="G24" s="69">
        <f>H8</f>
        <v>6.5671999999999994E-2</v>
      </c>
      <c r="H24" s="90">
        <v>5.858E-2</v>
      </c>
    </row>
    <row r="25" spans="2:8" x14ac:dyDescent="0.2">
      <c r="B25" s="22" t="s">
        <v>26</v>
      </c>
      <c r="C25" s="69">
        <f>I4</f>
        <v>6.5911999999999998E-2</v>
      </c>
      <c r="D25" s="69">
        <f>I5</f>
        <v>8.3820000000000006E-2</v>
      </c>
      <c r="E25" s="69">
        <f>I6</f>
        <v>8.3094000000000001E-2</v>
      </c>
      <c r="F25" s="69">
        <f>I7</f>
        <v>6.1074000000000003E-2</v>
      </c>
      <c r="G25" s="69">
        <f>I8</f>
        <v>0.10352699999999999</v>
      </c>
      <c r="H25" s="90">
        <v>4.3735999999999997E-2</v>
      </c>
    </row>
    <row r="26" spans="2:8" x14ac:dyDescent="0.2">
      <c r="B26" s="22" t="s">
        <v>27</v>
      </c>
      <c r="C26" s="69">
        <f>J4</f>
        <v>7.5983999999999996E-2</v>
      </c>
      <c r="D26" s="69">
        <f>J5</f>
        <v>0.119854</v>
      </c>
      <c r="E26" s="69">
        <f>J6</f>
        <v>8.0339999999999995E-2</v>
      </c>
      <c r="F26" s="69">
        <f>J7</f>
        <v>8.6095000000000005E-2</v>
      </c>
      <c r="G26" s="69">
        <f>J8</f>
        <v>8.8204000000000005E-2</v>
      </c>
      <c r="H26" s="90">
        <v>7.1339E-2</v>
      </c>
    </row>
    <row r="27" spans="2:8" x14ac:dyDescent="0.2">
      <c r="B27" s="22" t="s">
        <v>28</v>
      </c>
      <c r="C27" s="69">
        <f>K4</f>
        <v>8.3096000000000003E-2</v>
      </c>
      <c r="D27" s="69">
        <f>K5</f>
        <v>7.6076000000000005E-2</v>
      </c>
      <c r="E27" s="69">
        <f>K6</f>
        <v>6.8658999999999998E-2</v>
      </c>
      <c r="F27" s="69">
        <f>K7</f>
        <v>7.6421000000000003E-2</v>
      </c>
      <c r="G27" s="69">
        <f>K8</f>
        <v>8.7567000000000006E-2</v>
      </c>
      <c r="H27" s="90">
        <v>9.0808E-2</v>
      </c>
    </row>
    <row r="28" spans="2:8" x14ac:dyDescent="0.2">
      <c r="B28" s="22" t="s">
        <v>18</v>
      </c>
      <c r="C28" s="69">
        <f>L4</f>
        <v>8.5752999999999996E-2</v>
      </c>
      <c r="D28" s="69">
        <f>L5</f>
        <v>8.0988000000000004E-2</v>
      </c>
      <c r="E28" s="69">
        <f>L6</f>
        <v>7.4742000000000003E-2</v>
      </c>
      <c r="F28" s="69">
        <f>L7</f>
        <v>9.5781000000000005E-2</v>
      </c>
      <c r="G28" s="69">
        <f>L8</f>
        <v>0.10882</v>
      </c>
      <c r="H28" s="90">
        <v>9.8097000000000004E-2</v>
      </c>
    </row>
    <row r="29" spans="2:8" x14ac:dyDescent="0.2">
      <c r="B29" s="22" t="s">
        <v>29</v>
      </c>
      <c r="C29" s="69">
        <f>M4</f>
        <v>0.11365599999999999</v>
      </c>
      <c r="D29" s="69">
        <f>M5</f>
        <v>7.6364000000000001E-2</v>
      </c>
      <c r="E29" s="69">
        <f>M6</f>
        <v>0.101495</v>
      </c>
      <c r="F29" s="69">
        <f>M7</f>
        <v>0.13388600000000001</v>
      </c>
      <c r="G29" s="69">
        <f>M8</f>
        <v>0.148508</v>
      </c>
      <c r="H29" s="90">
        <v>0.10048</v>
      </c>
    </row>
    <row r="30" spans="2:8" ht="13.5" thickBot="1" x14ac:dyDescent="0.25">
      <c r="B30" s="22"/>
      <c r="C30" s="70">
        <f t="shared" ref="C30:H30" si="0">SUM(C18:C29)</f>
        <v>1</v>
      </c>
      <c r="D30" s="70">
        <f t="shared" si="0"/>
        <v>1.0000000000000002</v>
      </c>
      <c r="E30" s="70">
        <f t="shared" si="0"/>
        <v>1</v>
      </c>
      <c r="F30" s="70">
        <f t="shared" si="0"/>
        <v>1</v>
      </c>
      <c r="G30" s="70">
        <f t="shared" si="0"/>
        <v>1</v>
      </c>
      <c r="H30" s="91">
        <f t="shared" si="0"/>
        <v>1</v>
      </c>
    </row>
    <row r="31" spans="2:8" ht="13.5" thickTop="1" x14ac:dyDescent="0.2">
      <c r="H31" s="88"/>
    </row>
  </sheetData>
  <pageMargins left="0" right="0" top="1" bottom="1" header="0.5" footer="0.5"/>
  <pageSetup scale="80" orientation="landscape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opLeftCell="C1" workbookViewId="0">
      <selection activeCell="C18" sqref="C18:G30"/>
    </sheetView>
  </sheetViews>
  <sheetFormatPr defaultRowHeight="12.75" x14ac:dyDescent="0.2"/>
  <cols>
    <col min="1" max="1" width="40.7109375" customWidth="1"/>
    <col min="2" max="2" width="10.85546875" bestFit="1" customWidth="1"/>
    <col min="3" max="3" width="12.7109375" customWidth="1"/>
    <col min="4" max="13" width="10.7109375" bestFit="1" customWidth="1"/>
    <col min="14" max="14" width="9.7109375" bestFit="1" customWidth="1"/>
  </cols>
  <sheetData>
    <row r="1" spans="1:14" x14ac:dyDescent="0.2">
      <c r="B1" s="88" t="s">
        <v>191</v>
      </c>
      <c r="C1" s="88"/>
    </row>
    <row r="3" spans="1:14" x14ac:dyDescent="0.2">
      <c r="B3" t="s">
        <v>17</v>
      </c>
      <c r="C3" t="s">
        <v>114</v>
      </c>
      <c r="D3" t="s">
        <v>119</v>
      </c>
      <c r="E3" t="s">
        <v>115</v>
      </c>
      <c r="F3" t="s">
        <v>116</v>
      </c>
      <c r="G3" t="s">
        <v>117</v>
      </c>
      <c r="H3" t="s">
        <v>118</v>
      </c>
      <c r="I3" t="s">
        <v>120</v>
      </c>
      <c r="J3" t="s">
        <v>27</v>
      </c>
      <c r="K3" t="s">
        <v>28</v>
      </c>
      <c r="L3" t="s">
        <v>18</v>
      </c>
      <c r="M3" t="s">
        <v>29</v>
      </c>
    </row>
    <row r="4" spans="1:14" x14ac:dyDescent="0.2">
      <c r="A4" t="s">
        <v>110</v>
      </c>
      <c r="B4" s="97">
        <v>8.0365000000000006E-2</v>
      </c>
      <c r="C4" s="97">
        <v>9.4191999999999998E-2</v>
      </c>
      <c r="D4" s="97">
        <v>9.0649999999999994E-2</v>
      </c>
      <c r="E4" s="97">
        <v>0.103295</v>
      </c>
      <c r="F4" s="97">
        <v>7.4596999999999997E-2</v>
      </c>
      <c r="G4" s="97">
        <v>7.0453000000000002E-2</v>
      </c>
      <c r="H4" s="97">
        <v>7.0468000000000003E-2</v>
      </c>
      <c r="I4" s="97">
        <v>6.2726000000000004E-2</v>
      </c>
      <c r="J4" s="97">
        <v>7.0587999999999998E-2</v>
      </c>
      <c r="K4" s="97">
        <v>7.7678999999999998E-2</v>
      </c>
      <c r="L4" s="97">
        <v>8.4652000000000005E-2</v>
      </c>
      <c r="M4" s="97">
        <v>0.120335</v>
      </c>
      <c r="N4" s="96">
        <f t="shared" ref="N4:N9" si="0">SUM(B4:M4)</f>
        <v>0.99999999999999989</v>
      </c>
    </row>
    <row r="5" spans="1:14" x14ac:dyDescent="0.2">
      <c r="A5" t="s">
        <v>138</v>
      </c>
      <c r="B5" s="97">
        <v>7.2606000000000004E-2</v>
      </c>
      <c r="C5" s="97">
        <v>7.5939999999999994E-2</v>
      </c>
      <c r="D5" s="97">
        <v>0.11328100000000008</v>
      </c>
      <c r="E5" s="97">
        <v>8.1448999999999994E-2</v>
      </c>
      <c r="F5" s="97">
        <v>6.8186999999999998E-2</v>
      </c>
      <c r="G5" s="97">
        <v>7.3195999999999997E-2</v>
      </c>
      <c r="H5" s="97">
        <v>6.4670000000000005E-2</v>
      </c>
      <c r="I5" s="97">
        <v>8.3339999999999997E-2</v>
      </c>
      <c r="J5" s="97">
        <v>0.13723399999999999</v>
      </c>
      <c r="K5" s="97">
        <v>7.6446E-2</v>
      </c>
      <c r="L5" s="97">
        <v>7.9017000000000004E-2</v>
      </c>
      <c r="M5" s="97">
        <v>7.4634000000000006E-2</v>
      </c>
      <c r="N5" s="96">
        <f t="shared" si="0"/>
        <v>1</v>
      </c>
    </row>
    <row r="6" spans="1:14" x14ac:dyDescent="0.2">
      <c r="A6" t="s">
        <v>113</v>
      </c>
      <c r="B6" s="97">
        <v>6.7237000000000005E-2</v>
      </c>
      <c r="C6" s="97">
        <v>0.103029</v>
      </c>
      <c r="D6" s="97">
        <v>0.10233200000000001</v>
      </c>
      <c r="E6" s="97">
        <v>9.9129999999999996E-2</v>
      </c>
      <c r="F6" s="97">
        <v>7.1856000000000003E-2</v>
      </c>
      <c r="G6" s="97">
        <v>7.4732000000000007E-2</v>
      </c>
      <c r="H6" s="97">
        <v>5.6151E-2</v>
      </c>
      <c r="I6" s="97">
        <v>9.8530000000000006E-2</v>
      </c>
      <c r="J6" s="97">
        <v>7.1689000000000003E-2</v>
      </c>
      <c r="K6" s="97">
        <v>6.5558000000000005E-2</v>
      </c>
      <c r="L6" s="97">
        <v>8.1078999999999998E-2</v>
      </c>
      <c r="M6" s="97">
        <v>0.108677</v>
      </c>
      <c r="N6" s="96">
        <f t="shared" si="0"/>
        <v>1</v>
      </c>
    </row>
    <row r="7" spans="1:14" x14ac:dyDescent="0.2">
      <c r="A7" t="s">
        <v>82</v>
      </c>
      <c r="B7" s="97">
        <v>5.4420000000000003E-2</v>
      </c>
      <c r="C7" s="97">
        <v>8.9996999999999994E-2</v>
      </c>
      <c r="D7" s="97">
        <v>7.7906000000000003E-2</v>
      </c>
      <c r="E7" s="97">
        <v>6.5717999999999999E-2</v>
      </c>
      <c r="F7" s="97">
        <v>7.7568999999999999E-2</v>
      </c>
      <c r="G7" s="97">
        <v>7.5135999999999994E-2</v>
      </c>
      <c r="H7" s="97">
        <v>6.6170000000000007E-2</v>
      </c>
      <c r="I7" s="97">
        <v>6.9358000000000003E-2</v>
      </c>
      <c r="J7" s="97">
        <v>8.6128999999999997E-2</v>
      </c>
      <c r="K7" s="97">
        <v>7.7520000000000006E-2</v>
      </c>
      <c r="L7" s="97">
        <v>9.8277000000000003E-2</v>
      </c>
      <c r="M7" s="97">
        <v>0.1618</v>
      </c>
      <c r="N7" s="96">
        <f t="shared" si="0"/>
        <v>1</v>
      </c>
    </row>
    <row r="8" spans="1:14" x14ac:dyDescent="0.2">
      <c r="A8" t="s">
        <v>84</v>
      </c>
      <c r="B8" s="97">
        <v>3.8641000000000002E-2</v>
      </c>
      <c r="C8" s="97">
        <v>6.1834E-2</v>
      </c>
      <c r="D8" s="97">
        <v>6.0304000000000003E-2</v>
      </c>
      <c r="E8" s="97">
        <v>7.6239000000000001E-2</v>
      </c>
      <c r="F8" s="97">
        <v>6.4645999999999995E-2</v>
      </c>
      <c r="G8" s="97">
        <v>7.7149999999999996E-2</v>
      </c>
      <c r="H8" s="97">
        <v>6.7302000000000001E-2</v>
      </c>
      <c r="I8" s="97">
        <v>8.8374999999999995E-2</v>
      </c>
      <c r="J8" s="97">
        <v>8.7641999999999998E-2</v>
      </c>
      <c r="K8" s="97">
        <v>9.0964000000000003E-2</v>
      </c>
      <c r="L8" s="97">
        <v>0.11398800000000001</v>
      </c>
      <c r="M8" s="97">
        <v>0.17291500000000001</v>
      </c>
      <c r="N8" s="96">
        <f t="shared" si="0"/>
        <v>1</v>
      </c>
    </row>
    <row r="9" spans="1:14" x14ac:dyDescent="0.2">
      <c r="A9" t="s">
        <v>121</v>
      </c>
      <c r="B9" s="79"/>
      <c r="C9" s="79"/>
      <c r="D9" s="79"/>
      <c r="E9" s="79"/>
      <c r="F9" s="78"/>
      <c r="G9" s="78"/>
      <c r="H9" s="78"/>
      <c r="I9" s="78"/>
      <c r="J9" s="78"/>
      <c r="K9" s="78"/>
      <c r="L9" s="78"/>
      <c r="M9" s="78"/>
      <c r="N9">
        <f t="shared" si="0"/>
        <v>0</v>
      </c>
    </row>
    <row r="11" spans="1:14" x14ac:dyDescent="0.2">
      <c r="N11" s="7"/>
    </row>
    <row r="15" spans="1:14" x14ac:dyDescent="0.2">
      <c r="H15" s="83"/>
    </row>
    <row r="16" spans="1:14" x14ac:dyDescent="0.2">
      <c r="B16" s="22"/>
      <c r="C16" s="22" t="s">
        <v>123</v>
      </c>
      <c r="D16" s="22" t="s">
        <v>34</v>
      </c>
      <c r="E16" s="22" t="s">
        <v>125</v>
      </c>
      <c r="F16" s="22"/>
      <c r="G16" s="22"/>
      <c r="H16" s="89" t="s">
        <v>129</v>
      </c>
    </row>
    <row r="17" spans="2:8" x14ac:dyDescent="0.2">
      <c r="B17" s="22"/>
      <c r="C17" s="22" t="s">
        <v>122</v>
      </c>
      <c r="D17" s="22" t="s">
        <v>124</v>
      </c>
      <c r="E17" s="22" t="s">
        <v>126</v>
      </c>
      <c r="F17" s="22" t="s">
        <v>127</v>
      </c>
      <c r="G17" s="22" t="s">
        <v>128</v>
      </c>
      <c r="H17" s="89" t="s">
        <v>130</v>
      </c>
    </row>
    <row r="18" spans="2:8" x14ac:dyDescent="0.2">
      <c r="B18" s="22" t="s">
        <v>17</v>
      </c>
      <c r="C18" s="69">
        <f>B4</f>
        <v>8.0365000000000006E-2</v>
      </c>
      <c r="D18" s="69">
        <f>B5</f>
        <v>7.2606000000000004E-2</v>
      </c>
      <c r="E18" s="69">
        <f>B6</f>
        <v>6.7237000000000005E-2</v>
      </c>
      <c r="F18" s="69">
        <f>B7</f>
        <v>5.4420000000000003E-2</v>
      </c>
      <c r="G18" s="69">
        <f>B8</f>
        <v>3.8641000000000002E-2</v>
      </c>
      <c r="H18" s="90">
        <v>8.7599999999999997E-2</v>
      </c>
    </row>
    <row r="19" spans="2:8" x14ac:dyDescent="0.2">
      <c r="B19" s="22" t="s">
        <v>20</v>
      </c>
      <c r="C19" s="69">
        <f>C4</f>
        <v>9.4191999999999998E-2</v>
      </c>
      <c r="D19" s="69">
        <f>C5</f>
        <v>7.5939999999999994E-2</v>
      </c>
      <c r="E19" s="69">
        <f>C6</f>
        <v>0.103029</v>
      </c>
      <c r="F19" s="69">
        <f>C7</f>
        <v>8.9996999999999994E-2</v>
      </c>
      <c r="G19" s="69">
        <f>C8</f>
        <v>6.1834E-2</v>
      </c>
      <c r="H19" s="90">
        <v>9.264E-2</v>
      </c>
    </row>
    <row r="20" spans="2:8" x14ac:dyDescent="0.2">
      <c r="B20" s="22" t="s">
        <v>21</v>
      </c>
      <c r="C20" s="69">
        <f>D4</f>
        <v>9.0649999999999994E-2</v>
      </c>
      <c r="D20" s="69">
        <f>D5</f>
        <v>0.11328100000000008</v>
      </c>
      <c r="E20" s="69">
        <f>D6</f>
        <v>0.10233200000000001</v>
      </c>
      <c r="F20" s="69">
        <f>D7</f>
        <v>7.7906000000000003E-2</v>
      </c>
      <c r="G20" s="69">
        <f>D8</f>
        <v>6.0304000000000003E-2</v>
      </c>
      <c r="H20" s="90">
        <v>8.5589999999999999E-2</v>
      </c>
    </row>
    <row r="21" spans="2:8" x14ac:dyDescent="0.2">
      <c r="B21" s="22" t="s">
        <v>22</v>
      </c>
      <c r="C21" s="69">
        <f>E4</f>
        <v>0.103295</v>
      </c>
      <c r="D21" s="69">
        <f>E5</f>
        <v>8.1448999999999994E-2</v>
      </c>
      <c r="E21" s="69">
        <f>E6</f>
        <v>9.9129999999999996E-2</v>
      </c>
      <c r="F21" s="69">
        <f>E7</f>
        <v>6.5717999999999999E-2</v>
      </c>
      <c r="G21" s="69">
        <f>E8</f>
        <v>7.6239000000000001E-2</v>
      </c>
      <c r="H21" s="90">
        <v>8.7239999999999998E-2</v>
      </c>
    </row>
    <row r="22" spans="2:8" x14ac:dyDescent="0.2">
      <c r="B22" s="22" t="s">
        <v>23</v>
      </c>
      <c r="C22" s="69">
        <f>F4</f>
        <v>7.4596999999999997E-2</v>
      </c>
      <c r="D22" s="69">
        <f>F5</f>
        <v>6.8186999999999998E-2</v>
      </c>
      <c r="E22" s="69">
        <f>F6</f>
        <v>7.1856000000000003E-2</v>
      </c>
      <c r="F22" s="69">
        <f>F7</f>
        <v>7.7568999999999999E-2</v>
      </c>
      <c r="G22" s="69">
        <f>F8</f>
        <v>6.4645999999999995E-2</v>
      </c>
      <c r="H22" s="90">
        <v>8.1850000000000006E-2</v>
      </c>
    </row>
    <row r="23" spans="2:8" x14ac:dyDescent="0.2">
      <c r="B23" s="22" t="s">
        <v>24</v>
      </c>
      <c r="C23" s="69">
        <f>G4</f>
        <v>7.0453000000000002E-2</v>
      </c>
      <c r="D23" s="69">
        <f>G5</f>
        <v>7.3195999999999997E-2</v>
      </c>
      <c r="E23" s="69">
        <f>G6</f>
        <v>7.4732000000000007E-2</v>
      </c>
      <c r="F23" s="69">
        <f>G7</f>
        <v>7.5135999999999994E-2</v>
      </c>
      <c r="G23" s="69">
        <f>G8</f>
        <v>7.7149999999999996E-2</v>
      </c>
      <c r="H23" s="90">
        <v>6.5240000000000006E-2</v>
      </c>
    </row>
    <row r="24" spans="2:8" x14ac:dyDescent="0.2">
      <c r="B24" s="22" t="s">
        <v>25</v>
      </c>
      <c r="C24" s="69">
        <f>H4</f>
        <v>7.0468000000000003E-2</v>
      </c>
      <c r="D24" s="69">
        <f>H5</f>
        <v>6.4670000000000005E-2</v>
      </c>
      <c r="E24" s="69">
        <f>H6</f>
        <v>5.6151E-2</v>
      </c>
      <c r="F24" s="69">
        <f>H7</f>
        <v>6.6170000000000007E-2</v>
      </c>
      <c r="G24" s="69">
        <f>H8</f>
        <v>6.7302000000000001E-2</v>
      </c>
      <c r="H24" s="90">
        <v>7.2889999999999996E-2</v>
      </c>
    </row>
    <row r="25" spans="2:8" x14ac:dyDescent="0.2">
      <c r="B25" s="22" t="s">
        <v>26</v>
      </c>
      <c r="C25" s="69">
        <f>I4</f>
        <v>6.2726000000000004E-2</v>
      </c>
      <c r="D25" s="69">
        <f>I5</f>
        <v>8.3339999999999997E-2</v>
      </c>
      <c r="E25" s="69">
        <f>I6</f>
        <v>9.8530000000000006E-2</v>
      </c>
      <c r="F25" s="69">
        <f>I7</f>
        <v>6.9358000000000003E-2</v>
      </c>
      <c r="G25" s="69">
        <f>I8</f>
        <v>8.8374999999999995E-2</v>
      </c>
      <c r="H25" s="90">
        <v>5.6730000000000003E-2</v>
      </c>
    </row>
    <row r="26" spans="2:8" x14ac:dyDescent="0.2">
      <c r="B26" s="22" t="s">
        <v>27</v>
      </c>
      <c r="C26" s="69">
        <f>J4</f>
        <v>7.0587999999999998E-2</v>
      </c>
      <c r="D26" s="69">
        <f>J5</f>
        <v>0.13723399999999999</v>
      </c>
      <c r="E26" s="69">
        <f>J6</f>
        <v>7.1689000000000003E-2</v>
      </c>
      <c r="F26" s="69">
        <f>J7</f>
        <v>8.6128999999999997E-2</v>
      </c>
      <c r="G26" s="69">
        <f>J8</f>
        <v>8.7641999999999998E-2</v>
      </c>
      <c r="H26" s="90">
        <v>8.3949999999999997E-2</v>
      </c>
    </row>
    <row r="27" spans="2:8" x14ac:dyDescent="0.2">
      <c r="B27" s="22" t="s">
        <v>28</v>
      </c>
      <c r="C27" s="69">
        <f>K4</f>
        <v>7.7678999999999998E-2</v>
      </c>
      <c r="D27" s="69">
        <f>K5</f>
        <v>7.6446E-2</v>
      </c>
      <c r="E27" s="69">
        <f>K6</f>
        <v>6.5558000000000005E-2</v>
      </c>
      <c r="F27" s="69">
        <f>K7</f>
        <v>7.7520000000000006E-2</v>
      </c>
      <c r="G27" s="69">
        <f>K8</f>
        <v>9.0964000000000003E-2</v>
      </c>
      <c r="H27" s="90">
        <v>9.5600000000000004E-2</v>
      </c>
    </row>
    <row r="28" spans="2:8" x14ac:dyDescent="0.2">
      <c r="B28" s="22" t="s">
        <v>18</v>
      </c>
      <c r="C28" s="69">
        <f>L4</f>
        <v>8.4652000000000005E-2</v>
      </c>
      <c r="D28" s="69">
        <f>L5</f>
        <v>7.9017000000000004E-2</v>
      </c>
      <c r="E28" s="69">
        <f>L6</f>
        <v>8.1078999999999998E-2</v>
      </c>
      <c r="F28" s="69">
        <f>L7</f>
        <v>9.8277000000000003E-2</v>
      </c>
      <c r="G28" s="69">
        <f>L8</f>
        <v>0.11398800000000001</v>
      </c>
      <c r="H28" s="90">
        <v>9.5369999999999996E-2</v>
      </c>
    </row>
    <row r="29" spans="2:8" x14ac:dyDescent="0.2">
      <c r="B29" s="22" t="s">
        <v>29</v>
      </c>
      <c r="C29" s="69">
        <f>M4</f>
        <v>0.120335</v>
      </c>
      <c r="D29" s="69">
        <f>M5</f>
        <v>7.4634000000000006E-2</v>
      </c>
      <c r="E29" s="69">
        <f>M6</f>
        <v>0.108677</v>
      </c>
      <c r="F29" s="69">
        <f>M7</f>
        <v>0.1618</v>
      </c>
      <c r="G29" s="69">
        <f>M8</f>
        <v>0.17291500000000001</v>
      </c>
      <c r="H29" s="90">
        <v>9.5300000000000051E-2</v>
      </c>
    </row>
    <row r="30" spans="2:8" ht="13.5" thickBot="1" x14ac:dyDescent="0.25">
      <c r="B30" s="22"/>
      <c r="C30" s="70">
        <f t="shared" ref="C30:H30" si="1">SUM(C18:C29)</f>
        <v>0.99999999999999989</v>
      </c>
      <c r="D30" s="70">
        <f t="shared" si="1"/>
        <v>1</v>
      </c>
      <c r="E30" s="70">
        <f t="shared" si="1"/>
        <v>1</v>
      </c>
      <c r="F30" s="70">
        <f t="shared" si="1"/>
        <v>1</v>
      </c>
      <c r="G30" s="70">
        <f t="shared" si="1"/>
        <v>1</v>
      </c>
      <c r="H30" s="91">
        <f t="shared" si="1"/>
        <v>1</v>
      </c>
    </row>
    <row r="31" spans="2:8" ht="13.5" thickTop="1" x14ac:dyDescent="0.2">
      <c r="H31" s="88"/>
    </row>
  </sheetData>
  <pageMargins left="0" right="0" top="1" bottom="1" header="0.5" footer="0.5"/>
  <pageSetup scale="8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31"/>
  <sheetViews>
    <sheetView topLeftCell="B1" workbookViewId="0">
      <selection activeCell="C18" sqref="C18:G30"/>
    </sheetView>
  </sheetViews>
  <sheetFormatPr defaultRowHeight="12.75" x14ac:dyDescent="0.2"/>
  <cols>
    <col min="1" max="1" width="40.7109375" customWidth="1"/>
    <col min="2" max="2" width="10.85546875" bestFit="1" customWidth="1"/>
    <col min="3" max="3" width="12.7109375" customWidth="1"/>
    <col min="4" max="13" width="10.7109375" bestFit="1" customWidth="1"/>
  </cols>
  <sheetData>
    <row r="3" spans="1:14" x14ac:dyDescent="0.2">
      <c r="B3" t="s">
        <v>17</v>
      </c>
      <c r="C3" t="s">
        <v>114</v>
      </c>
      <c r="D3" t="s">
        <v>119</v>
      </c>
      <c r="E3" t="s">
        <v>115</v>
      </c>
      <c r="F3" t="s">
        <v>116</v>
      </c>
      <c r="G3" t="s">
        <v>117</v>
      </c>
      <c r="H3" t="s">
        <v>118</v>
      </c>
      <c r="I3" t="s">
        <v>120</v>
      </c>
      <c r="J3" t="s">
        <v>27</v>
      </c>
      <c r="K3" t="s">
        <v>28</v>
      </c>
      <c r="L3" t="s">
        <v>18</v>
      </c>
      <c r="M3" t="s">
        <v>29</v>
      </c>
    </row>
    <row r="4" spans="1:14" x14ac:dyDescent="0.2">
      <c r="A4" t="s">
        <v>110</v>
      </c>
      <c r="B4" s="78">
        <f>ROUND((All_Accts!C123),6)</f>
        <v>8.5695999999999994E-2</v>
      </c>
      <c r="C4" s="78">
        <f>ROUND((All_Accts!D123),6)</f>
        <v>0.10306899999999999</v>
      </c>
      <c r="D4" s="78">
        <f>ROUND((All_Accts!E123),6)</f>
        <v>0.10537000000000001</v>
      </c>
      <c r="E4" s="78">
        <f>ROUND((All_Accts!F123),6)</f>
        <v>0.10623299999999999</v>
      </c>
      <c r="F4" s="78">
        <f>ROUND((All_Accts!G123),6)</f>
        <v>8.2013000000000003E-2</v>
      </c>
      <c r="G4" s="78">
        <f>ROUND((All_Accts!H123),6)</f>
        <v>8.3196000000000006E-2</v>
      </c>
      <c r="H4" s="78">
        <f>ROUND((All_Accts!I123),6)</f>
        <v>8.7340000000000001E-2</v>
      </c>
      <c r="I4" s="78">
        <f>ROUND((All_Accts!J123),6)</f>
        <v>5.0694000000000003E-2</v>
      </c>
      <c r="J4" s="78">
        <f>ROUND((All_Accts!K123),6)</f>
        <v>6.9089999999999999E-2</v>
      </c>
      <c r="K4" s="78">
        <f>ROUND((All_Accts!L123),6)</f>
        <v>6.0094000000000002E-2</v>
      </c>
      <c r="L4" s="78">
        <f>ROUND((All_Accts!M123),6)</f>
        <v>7.0529999999999995E-2</v>
      </c>
      <c r="M4" s="78">
        <f>ROUND((All_Accts!N123),6)</f>
        <v>9.6674999999999997E-2</v>
      </c>
      <c r="N4">
        <v>1</v>
      </c>
    </row>
    <row r="5" spans="1:14" x14ac:dyDescent="0.2">
      <c r="A5" t="s">
        <v>138</v>
      </c>
      <c r="B5" s="78">
        <v>7.4890999999999999E-2</v>
      </c>
      <c r="C5" s="78">
        <v>7.8773999999999997E-2</v>
      </c>
      <c r="D5" s="78">
        <v>7.6290999999999998E-2</v>
      </c>
      <c r="E5" s="78">
        <v>0.122875</v>
      </c>
      <c r="F5" s="78">
        <v>7.0331000000000005E-2</v>
      </c>
      <c r="G5" s="78">
        <v>7.2234000000000007E-2</v>
      </c>
      <c r="H5" s="78">
        <v>6.7130999999999996E-2</v>
      </c>
      <c r="I5" s="78">
        <v>8.2605999999999999E-2</v>
      </c>
      <c r="J5" s="78">
        <v>0.11989900000000001</v>
      </c>
      <c r="K5" s="78">
        <v>7.7024999999999996E-2</v>
      </c>
      <c r="L5" s="78">
        <v>7.9641000000000003E-2</v>
      </c>
      <c r="M5" s="78">
        <v>7.8301999999999997E-2</v>
      </c>
      <c r="N5">
        <f>SUM(B5:M5)</f>
        <v>0.99999999999999989</v>
      </c>
    </row>
    <row r="6" spans="1:14" x14ac:dyDescent="0.2">
      <c r="A6" t="s">
        <v>113</v>
      </c>
      <c r="B6" s="78">
        <f>ROUND((All_Accts!C127),6)</f>
        <v>9.1342000000000007E-2</v>
      </c>
      <c r="C6" s="78">
        <f>ROUND((All_Accts!D127),6)</f>
        <v>0.116381</v>
      </c>
      <c r="D6" s="78">
        <f>ROUND((All_Accts!E127),6)</f>
        <v>0.100867</v>
      </c>
      <c r="E6" s="78">
        <f>ROUND((All_Accts!F127),6)</f>
        <v>0.113395</v>
      </c>
      <c r="F6" s="78">
        <f>ROUND((All_Accts!G127),6)</f>
        <v>0.124821</v>
      </c>
      <c r="G6" s="78">
        <f>ROUND((All_Accts!H127),6)</f>
        <v>8.4831000000000004E-2</v>
      </c>
      <c r="H6" s="78">
        <f>ROUND((All_Accts!I127),6)</f>
        <v>7.1703000000000003E-2</v>
      </c>
      <c r="I6" s="78">
        <f>ROUND((All_Accts!J127),6)</f>
        <v>3.1217999999999999E-2</v>
      </c>
      <c r="J6" s="78">
        <f>ROUND((All_Accts!K127),6)</f>
        <v>4.1429000000000001E-2</v>
      </c>
      <c r="K6" s="78">
        <f>ROUND((All_Accts!L127),6)</f>
        <v>4.8489999999999998E-2</v>
      </c>
      <c r="L6" s="78">
        <f>ROUND((All_Accts!M127),6)</f>
        <v>4.743E-2</v>
      </c>
      <c r="M6" s="78">
        <f>ROUND((All_Accts!N127),6)</f>
        <v>0.12809400000000001</v>
      </c>
      <c r="N6">
        <f>SUM(B6:M6)</f>
        <v>1.0000009999999999</v>
      </c>
    </row>
    <row r="7" spans="1:14" x14ac:dyDescent="0.2">
      <c r="A7" t="s">
        <v>82</v>
      </c>
      <c r="B7" s="78">
        <f>ROUND((All_Accts!C129),6)</f>
        <v>7.1773000000000003E-2</v>
      </c>
      <c r="C7" s="78">
        <f>ROUND((All_Accts!D129),6)</f>
        <v>6.4611000000000002E-2</v>
      </c>
      <c r="D7" s="78">
        <f>ROUND((All_Accts!E129),6)</f>
        <v>0.10634200000000001</v>
      </c>
      <c r="E7" s="78">
        <f>ROUND((All_Accts!F129),6)</f>
        <v>0.10931299999999999</v>
      </c>
      <c r="F7" s="78">
        <f>ROUND((All_Accts!G129),6)</f>
        <v>7.1979000000000001E-2</v>
      </c>
      <c r="G7" s="78">
        <f>ROUND((All_Accts!H129),6)</f>
        <v>8.9551000000000006E-2</v>
      </c>
      <c r="H7" s="78">
        <f>ROUND((All_Accts!I129),6)</f>
        <v>8.2371E-2</v>
      </c>
      <c r="I7" s="78">
        <f>ROUND((All_Accts!J129),6)</f>
        <v>4.7462999999999998E-2</v>
      </c>
      <c r="J7" s="78">
        <f>ROUND((All_Accts!K129),6)</f>
        <v>6.1348E-2</v>
      </c>
      <c r="K7" s="78">
        <f>ROUND((All_Accts!L129),6)</f>
        <v>6.6655000000000006E-2</v>
      </c>
      <c r="L7" s="78">
        <f>ROUND((All_Accts!M129),6)</f>
        <v>8.6527999999999994E-2</v>
      </c>
      <c r="M7" s="78">
        <f>ROUND((All_Accts!N129),6)-0.000001</f>
        <v>0.142067</v>
      </c>
      <c r="N7">
        <f>SUM(B7:M7)</f>
        <v>1.0000009999999999</v>
      </c>
    </row>
    <row r="8" spans="1:14" x14ac:dyDescent="0.2">
      <c r="A8" t="s">
        <v>84</v>
      </c>
      <c r="B8" s="78">
        <f>ROUND((All_Accts!C131),6)</f>
        <v>5.4968999999999997E-2</v>
      </c>
      <c r="C8" s="78">
        <f>ROUND((All_Accts!D131),6)</f>
        <v>6.6338999999999995E-2</v>
      </c>
      <c r="D8" s="78">
        <f>ROUND((All_Accts!E131),6)</f>
        <v>8.4015999999999993E-2</v>
      </c>
      <c r="E8" s="78">
        <f>ROUND((All_Accts!F131),6)</f>
        <v>9.5611000000000002E-2</v>
      </c>
      <c r="F8" s="78">
        <f>ROUND((All_Accts!G131),6)</f>
        <v>8.1549999999999997E-2</v>
      </c>
      <c r="G8" s="78">
        <f>ROUND((All_Accts!H131),6)</f>
        <v>8.1698000000000007E-2</v>
      </c>
      <c r="H8" s="78">
        <f>ROUND((All_Accts!I131),6)</f>
        <v>0.11039300000000001</v>
      </c>
      <c r="I8" s="78">
        <f>ROUND((All_Accts!J131),6)</f>
        <v>7.4856000000000006E-2</v>
      </c>
      <c r="J8" s="78">
        <f>ROUND((All_Accts!K131),6)</f>
        <v>7.7380000000000004E-2</v>
      </c>
      <c r="K8" s="78">
        <f>ROUND((All_Accts!L131),6)</f>
        <v>7.7813999999999994E-2</v>
      </c>
      <c r="L8" s="78">
        <f>ROUND((All_Accts!M131),6)</f>
        <v>9.1014999999999999E-2</v>
      </c>
      <c r="M8" s="78">
        <f>ROUND((All_Accts!N131),6)</f>
        <v>0.104361</v>
      </c>
      <c r="N8">
        <f>SUM(B8:M8)</f>
        <v>1.0000020000000001</v>
      </c>
    </row>
    <row r="9" spans="1:14" x14ac:dyDescent="0.2">
      <c r="A9" t="s">
        <v>121</v>
      </c>
      <c r="B9" s="79"/>
      <c r="C9" s="79"/>
      <c r="D9" s="79"/>
      <c r="E9" s="79"/>
      <c r="F9" s="78"/>
      <c r="G9" s="78"/>
      <c r="H9" s="78"/>
      <c r="I9" s="78"/>
      <c r="J9" s="78"/>
      <c r="K9" s="78"/>
      <c r="L9" s="78"/>
      <c r="M9" s="78"/>
      <c r="N9">
        <f>SUM(B9:M9)</f>
        <v>0</v>
      </c>
    </row>
    <row r="15" spans="1:14" x14ac:dyDescent="0.2">
      <c r="H15" s="83"/>
    </row>
    <row r="16" spans="1:14" x14ac:dyDescent="0.2">
      <c r="B16" s="22"/>
      <c r="C16" s="22" t="s">
        <v>123</v>
      </c>
      <c r="D16" s="22" t="s">
        <v>34</v>
      </c>
      <c r="E16" s="22" t="s">
        <v>125</v>
      </c>
      <c r="F16" s="22"/>
      <c r="G16" s="22"/>
      <c r="H16" s="22" t="s">
        <v>129</v>
      </c>
    </row>
    <row r="17" spans="2:8" x14ac:dyDescent="0.2">
      <c r="B17" s="22"/>
      <c r="C17" s="22" t="s">
        <v>122</v>
      </c>
      <c r="D17" s="22" t="s">
        <v>124</v>
      </c>
      <c r="E17" s="22" t="s">
        <v>126</v>
      </c>
      <c r="F17" s="22" t="s">
        <v>127</v>
      </c>
      <c r="G17" s="22" t="s">
        <v>128</v>
      </c>
      <c r="H17" s="22" t="s">
        <v>130</v>
      </c>
    </row>
    <row r="18" spans="2:8" x14ac:dyDescent="0.2">
      <c r="B18" s="22" t="s">
        <v>17</v>
      </c>
      <c r="C18" s="69">
        <f>B4</f>
        <v>8.5695999999999994E-2</v>
      </c>
      <c r="D18" s="69">
        <f>B5</f>
        <v>7.4890999999999999E-2</v>
      </c>
      <c r="E18" s="69">
        <f>B6</f>
        <v>9.1342000000000007E-2</v>
      </c>
      <c r="F18" s="69">
        <f>B7</f>
        <v>7.1773000000000003E-2</v>
      </c>
      <c r="G18" s="69">
        <f>B8</f>
        <v>5.4968999999999997E-2</v>
      </c>
      <c r="H18" s="69">
        <v>8.9134000000000005E-2</v>
      </c>
    </row>
    <row r="19" spans="2:8" x14ac:dyDescent="0.2">
      <c r="B19" s="22" t="s">
        <v>20</v>
      </c>
      <c r="C19" s="69">
        <f>C4</f>
        <v>0.10306899999999999</v>
      </c>
      <c r="D19" s="69">
        <f>C5</f>
        <v>7.8773999999999997E-2</v>
      </c>
      <c r="E19" s="69">
        <f>C6</f>
        <v>0.116381</v>
      </c>
      <c r="F19" s="69">
        <f>C7</f>
        <v>6.4611000000000002E-2</v>
      </c>
      <c r="G19" s="69">
        <f>C8</f>
        <v>6.6338999999999995E-2</v>
      </c>
      <c r="H19" s="69">
        <v>0.102199</v>
      </c>
    </row>
    <row r="20" spans="2:8" x14ac:dyDescent="0.2">
      <c r="B20" s="22" t="s">
        <v>21</v>
      </c>
      <c r="C20" s="69">
        <f>D4</f>
        <v>0.10537000000000001</v>
      </c>
      <c r="D20" s="69">
        <f>D5</f>
        <v>7.6290999999999998E-2</v>
      </c>
      <c r="E20" s="69">
        <f>D6</f>
        <v>0.100867</v>
      </c>
      <c r="F20" s="69">
        <f>D7</f>
        <v>0.10634200000000001</v>
      </c>
      <c r="G20" s="69">
        <f>D8</f>
        <v>8.4015999999999993E-2</v>
      </c>
      <c r="H20" s="69">
        <v>9.4774999999999998E-2</v>
      </c>
    </row>
    <row r="21" spans="2:8" x14ac:dyDescent="0.2">
      <c r="B21" s="22" t="s">
        <v>22</v>
      </c>
      <c r="C21" s="69">
        <f>E4</f>
        <v>0.10623299999999999</v>
      </c>
      <c r="D21" s="69">
        <f>E5</f>
        <v>0.122875</v>
      </c>
      <c r="E21" s="69">
        <f>E6</f>
        <v>0.113395</v>
      </c>
      <c r="F21" s="69">
        <f>E7</f>
        <v>0.10931299999999999</v>
      </c>
      <c r="G21" s="69">
        <f>E8</f>
        <v>9.5611000000000002E-2</v>
      </c>
      <c r="H21" s="69">
        <v>9.2593999999999996E-2</v>
      </c>
    </row>
    <row r="22" spans="2:8" x14ac:dyDescent="0.2">
      <c r="B22" s="22" t="s">
        <v>23</v>
      </c>
      <c r="C22" s="69">
        <f>F4</f>
        <v>8.2013000000000003E-2</v>
      </c>
      <c r="D22" s="69">
        <f>F5</f>
        <v>7.0331000000000005E-2</v>
      </c>
      <c r="E22" s="69">
        <f>F6</f>
        <v>0.124821</v>
      </c>
      <c r="F22" s="69">
        <f>F7</f>
        <v>7.1979000000000001E-2</v>
      </c>
      <c r="G22" s="69">
        <f>F8</f>
        <v>8.1549999999999997E-2</v>
      </c>
      <c r="H22" s="69">
        <v>8.9906E-2</v>
      </c>
    </row>
    <row r="23" spans="2:8" x14ac:dyDescent="0.2">
      <c r="B23" s="22" t="s">
        <v>24</v>
      </c>
      <c r="C23" s="69">
        <f>G4</f>
        <v>8.3196000000000006E-2</v>
      </c>
      <c r="D23" s="69">
        <f>G5</f>
        <v>7.2234000000000007E-2</v>
      </c>
      <c r="E23" s="69">
        <f>G6</f>
        <v>8.4831000000000004E-2</v>
      </c>
      <c r="F23" s="69">
        <f>G7</f>
        <v>8.9551000000000006E-2</v>
      </c>
      <c r="G23" s="69">
        <f>G8</f>
        <v>8.1698000000000007E-2</v>
      </c>
      <c r="H23" s="69">
        <v>8.6953000000000003E-2</v>
      </c>
    </row>
    <row r="24" spans="2:8" x14ac:dyDescent="0.2">
      <c r="B24" s="22" t="s">
        <v>25</v>
      </c>
      <c r="C24" s="69">
        <f>H4</f>
        <v>8.7340000000000001E-2</v>
      </c>
      <c r="D24" s="69">
        <f>H5</f>
        <v>6.7130999999999996E-2</v>
      </c>
      <c r="E24" s="69">
        <f>H6</f>
        <v>7.1703000000000003E-2</v>
      </c>
      <c r="F24" s="69">
        <f>H7</f>
        <v>8.2371E-2</v>
      </c>
      <c r="G24" s="69">
        <f>H8</f>
        <v>0.11039300000000001</v>
      </c>
      <c r="H24" s="69">
        <v>8.8927000000000006E-2</v>
      </c>
    </row>
    <row r="25" spans="2:8" x14ac:dyDescent="0.2">
      <c r="B25" s="22" t="s">
        <v>26</v>
      </c>
      <c r="C25" s="69">
        <f>I4</f>
        <v>5.0694000000000003E-2</v>
      </c>
      <c r="D25" s="69">
        <f>I5</f>
        <v>8.2605999999999999E-2</v>
      </c>
      <c r="E25" s="69">
        <f>I6</f>
        <v>3.1217999999999999E-2</v>
      </c>
      <c r="F25" s="69">
        <f>I7</f>
        <v>4.7462999999999998E-2</v>
      </c>
      <c r="G25" s="69">
        <f>I8</f>
        <v>7.4856000000000006E-2</v>
      </c>
      <c r="H25" s="69">
        <v>7.9794000000000004E-2</v>
      </c>
    </row>
    <row r="26" spans="2:8" x14ac:dyDescent="0.2">
      <c r="B26" s="22" t="s">
        <v>27</v>
      </c>
      <c r="C26" s="69">
        <f>J4</f>
        <v>6.9089999999999999E-2</v>
      </c>
      <c r="D26" s="69">
        <f>J5</f>
        <v>0.11989900000000001</v>
      </c>
      <c r="E26" s="69">
        <f>J6</f>
        <v>4.1429000000000001E-2</v>
      </c>
      <c r="F26" s="69">
        <f>J7</f>
        <v>6.1348E-2</v>
      </c>
      <c r="G26" s="69">
        <f>J8</f>
        <v>7.7380000000000004E-2</v>
      </c>
      <c r="H26" s="69">
        <v>7.6814999999999994E-2</v>
      </c>
    </row>
    <row r="27" spans="2:8" x14ac:dyDescent="0.2">
      <c r="B27" s="22" t="s">
        <v>28</v>
      </c>
      <c r="C27" s="69">
        <f>K4</f>
        <v>6.0094000000000002E-2</v>
      </c>
      <c r="D27" s="69">
        <f>K5</f>
        <v>7.7024999999999996E-2</v>
      </c>
      <c r="E27" s="69">
        <f>K6</f>
        <v>4.8489999999999998E-2</v>
      </c>
      <c r="F27" s="69">
        <f>K7</f>
        <v>6.6655000000000006E-2</v>
      </c>
      <c r="G27" s="69">
        <f>K8</f>
        <v>7.7813999999999994E-2</v>
      </c>
      <c r="H27" s="69">
        <v>7.6398999999999995E-2</v>
      </c>
    </row>
    <row r="28" spans="2:8" x14ac:dyDescent="0.2">
      <c r="B28" s="22" t="s">
        <v>18</v>
      </c>
      <c r="C28" s="69">
        <f>L4</f>
        <v>7.0529999999999995E-2</v>
      </c>
      <c r="D28" s="69">
        <f>L5</f>
        <v>7.9641000000000003E-2</v>
      </c>
      <c r="E28" s="69">
        <f>L6</f>
        <v>4.743E-2</v>
      </c>
      <c r="F28" s="69">
        <f>L7</f>
        <v>8.6527999999999994E-2</v>
      </c>
      <c r="G28" s="69">
        <f>L8</f>
        <v>9.1014999999999999E-2</v>
      </c>
      <c r="H28" s="69">
        <v>5.5431000000000001E-2</v>
      </c>
    </row>
    <row r="29" spans="2:8" x14ac:dyDescent="0.2">
      <c r="B29" s="22" t="s">
        <v>29</v>
      </c>
      <c r="C29" s="69">
        <f>M4</f>
        <v>9.6674999999999997E-2</v>
      </c>
      <c r="D29" s="69">
        <f>M5</f>
        <v>7.8301999999999997E-2</v>
      </c>
      <c r="E29" s="69">
        <f>M6</f>
        <v>0.12809400000000001</v>
      </c>
      <c r="F29" s="69">
        <f>M7</f>
        <v>0.142067</v>
      </c>
      <c r="G29" s="69">
        <f>M8</f>
        <v>0.104361</v>
      </c>
      <c r="H29" s="69">
        <v>6.7072999999999994E-2</v>
      </c>
    </row>
    <row r="30" spans="2:8" ht="13.5" thickBot="1" x14ac:dyDescent="0.25">
      <c r="B30" s="22"/>
      <c r="C30" s="70">
        <f t="shared" ref="C30:H30" si="0">SUM(C18:C29)</f>
        <v>0.99999999999999989</v>
      </c>
      <c r="D30" s="70">
        <f t="shared" si="0"/>
        <v>0.99999999999999989</v>
      </c>
      <c r="E30" s="70">
        <f t="shared" si="0"/>
        <v>1.0000009999999999</v>
      </c>
      <c r="F30" s="70">
        <f t="shared" si="0"/>
        <v>1.0000009999999999</v>
      </c>
      <c r="G30" s="70">
        <f t="shared" si="0"/>
        <v>1.0000020000000001</v>
      </c>
      <c r="H30" s="70">
        <f t="shared" si="0"/>
        <v>1</v>
      </c>
    </row>
    <row r="31" spans="2:8" ht="13.5" thickTop="1" x14ac:dyDescent="0.2"/>
  </sheetData>
  <pageMargins left="0" right="0" top="1" bottom="1" header="0.5" footer="0.5"/>
  <pageSetup scale="8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31"/>
  <sheetViews>
    <sheetView topLeftCell="B16" workbookViewId="0">
      <selection activeCell="C18" sqref="C18:G30"/>
    </sheetView>
  </sheetViews>
  <sheetFormatPr defaultRowHeight="12.75" x14ac:dyDescent="0.2"/>
  <cols>
    <col min="1" max="1" width="40.7109375" customWidth="1"/>
    <col min="2" max="2" width="10.85546875" bestFit="1" customWidth="1"/>
    <col min="3" max="3" width="12.7109375" customWidth="1"/>
    <col min="4" max="13" width="10.7109375" bestFit="1" customWidth="1"/>
  </cols>
  <sheetData>
    <row r="3" spans="1:14" x14ac:dyDescent="0.2">
      <c r="B3" t="s">
        <v>17</v>
      </c>
      <c r="C3" t="s">
        <v>114</v>
      </c>
      <c r="D3" t="s">
        <v>119</v>
      </c>
      <c r="E3" t="s">
        <v>115</v>
      </c>
      <c r="F3" t="s">
        <v>116</v>
      </c>
      <c r="G3" t="s">
        <v>117</v>
      </c>
      <c r="H3" t="s">
        <v>118</v>
      </c>
      <c r="I3" t="s">
        <v>120</v>
      </c>
      <c r="J3" t="s">
        <v>27</v>
      </c>
      <c r="K3" t="s">
        <v>28</v>
      </c>
      <c r="L3" t="s">
        <v>18</v>
      </c>
      <c r="M3" t="s">
        <v>29</v>
      </c>
    </row>
    <row r="4" spans="1:14" x14ac:dyDescent="0.2">
      <c r="A4" t="s">
        <v>110</v>
      </c>
      <c r="B4" s="78">
        <v>7.8408937598693121E-2</v>
      </c>
      <c r="C4" s="78">
        <v>7.5600615141266383E-2</v>
      </c>
      <c r="D4" s="78">
        <v>9.1102980464078803E-2</v>
      </c>
      <c r="E4" s="78">
        <v>0.10467641465037318</v>
      </c>
      <c r="F4" s="78">
        <v>6.5444139774661389E-2</v>
      </c>
      <c r="G4" s="78">
        <v>7.0216220747652033E-2</v>
      </c>
      <c r="H4" s="78">
        <v>7.0353270349134869E-2</v>
      </c>
      <c r="I4" s="78">
        <v>5.5481319236425602E-2</v>
      </c>
      <c r="J4" s="78">
        <v>6.6411163179867894E-2</v>
      </c>
      <c r="K4" s="78">
        <v>8.1989163177581134E-2</v>
      </c>
      <c r="L4" s="78">
        <v>8.3465778559912246E-2</v>
      </c>
      <c r="M4" s="78">
        <v>0.15684999712035336</v>
      </c>
      <c r="N4">
        <v>1</v>
      </c>
    </row>
    <row r="5" spans="1:14" x14ac:dyDescent="0.2">
      <c r="A5" t="s">
        <v>138</v>
      </c>
      <c r="B5" s="78">
        <v>7.3999999999999996E-2</v>
      </c>
      <c r="C5" s="78">
        <v>7.7990000000000004E-2</v>
      </c>
      <c r="D5" s="78">
        <v>7.6469999999999996E-2</v>
      </c>
      <c r="E5" s="78">
        <v>0.12163</v>
      </c>
      <c r="F5" s="78">
        <v>6.9269999999999998E-2</v>
      </c>
      <c r="G5" s="78">
        <v>6.9839999999999999E-2</v>
      </c>
      <c r="H5" s="78">
        <v>6.7040000000000002E-2</v>
      </c>
      <c r="I5" s="78">
        <v>7.843E-2</v>
      </c>
      <c r="J5" s="78">
        <v>8.1900000000000001E-2</v>
      </c>
      <c r="K5" s="78">
        <v>0.11862</v>
      </c>
      <c r="L5" s="78">
        <v>8.2699999999999996E-2</v>
      </c>
      <c r="M5" s="78">
        <v>8.2110000000000002E-2</v>
      </c>
      <c r="N5">
        <f>SUM(B5:M5)</f>
        <v>1</v>
      </c>
    </row>
    <row r="6" spans="1:14" x14ac:dyDescent="0.2">
      <c r="A6" t="s">
        <v>113</v>
      </c>
      <c r="B6" s="78">
        <v>7.5891603611871375E-2</v>
      </c>
      <c r="C6" s="78">
        <v>9.4279928416074479E-2</v>
      </c>
      <c r="D6" s="78">
        <v>0.10439053401127524</v>
      </c>
      <c r="E6" s="78">
        <v>8.690788007842136E-2</v>
      </c>
      <c r="F6" s="78">
        <v>5.5236429866117091E-2</v>
      </c>
      <c r="G6" s="78">
        <v>8.7097603687078667E-2</v>
      </c>
      <c r="H6" s="78">
        <v>7.6295238812851482E-2</v>
      </c>
      <c r="I6" s="78">
        <v>7.5128587840424907E-2</v>
      </c>
      <c r="J6" s="78">
        <v>6.2313703140791203E-2</v>
      </c>
      <c r="K6" s="78">
        <v>7.1140725490004914E-2</v>
      </c>
      <c r="L6" s="78">
        <v>7.8458002682507078E-2</v>
      </c>
      <c r="M6" s="78">
        <v>0.13285976236258221</v>
      </c>
      <c r="N6">
        <f>SUM(B6:M6)</f>
        <v>1</v>
      </c>
    </row>
    <row r="7" spans="1:14" x14ac:dyDescent="0.2">
      <c r="A7" t="s">
        <v>82</v>
      </c>
      <c r="B7" s="78">
        <v>3.7646749131560041E-2</v>
      </c>
      <c r="C7" s="78">
        <v>6.6440690954192361E-2</v>
      </c>
      <c r="D7" s="78">
        <v>7.0773847337531295E-2</v>
      </c>
      <c r="E7" s="78">
        <v>9.797200454274918E-2</v>
      </c>
      <c r="F7" s="78">
        <v>5.8742705596394378E-2</v>
      </c>
      <c r="G7" s="78">
        <v>7.2437833330235346E-2</v>
      </c>
      <c r="H7" s="78">
        <v>7.1901265730052663E-2</v>
      </c>
      <c r="I7" s="78">
        <v>6.6429529072464938E-2</v>
      </c>
      <c r="J7" s="78">
        <v>7.7121495579165894E-2</v>
      </c>
      <c r="K7" s="78">
        <v>9.822034502150917E-2</v>
      </c>
      <c r="L7" s="78">
        <v>6.7663645942560316E-2</v>
      </c>
      <c r="M7" s="78">
        <v>0.21464988776158439</v>
      </c>
      <c r="N7">
        <f>SUM(B7:M7)</f>
        <v>1</v>
      </c>
    </row>
    <row r="8" spans="1:14" x14ac:dyDescent="0.2">
      <c r="A8" t="s">
        <v>84</v>
      </c>
      <c r="B8" s="78">
        <v>3.9299553504161089E-2</v>
      </c>
      <c r="C8" s="78">
        <v>6.5273060157930732E-2</v>
      </c>
      <c r="D8" s="78">
        <v>6.5874131303479508E-2</v>
      </c>
      <c r="E8" s="78">
        <v>8.0097688791119254E-2</v>
      </c>
      <c r="F8" s="78">
        <v>5.9698727309568676E-2</v>
      </c>
      <c r="G8" s="78">
        <v>5.9686111733731159E-2</v>
      </c>
      <c r="H8" s="78">
        <v>9.1857971051623785E-2</v>
      </c>
      <c r="I8" s="78">
        <v>7.5603518178000859E-2</v>
      </c>
      <c r="J8" s="78">
        <v>8.5890856761442605E-2</v>
      </c>
      <c r="K8" s="78">
        <v>9.9846532316151079E-2</v>
      </c>
      <c r="L8" s="78">
        <v>9.1395299673537919E-2</v>
      </c>
      <c r="M8" s="78">
        <v>0.18547654921925333</v>
      </c>
      <c r="N8">
        <f>SUM(B8:M8)</f>
        <v>0.99999999999999978</v>
      </c>
    </row>
    <row r="9" spans="1:14" x14ac:dyDescent="0.2">
      <c r="A9" t="s">
        <v>121</v>
      </c>
      <c r="B9" s="79"/>
      <c r="C9" s="79"/>
      <c r="D9" s="79"/>
      <c r="E9" s="79"/>
      <c r="F9" s="78"/>
      <c r="G9" s="78"/>
      <c r="H9" s="78"/>
      <c r="I9" s="78"/>
      <c r="J9" s="78"/>
      <c r="K9" s="78"/>
      <c r="L9" s="78"/>
      <c r="M9" s="78"/>
      <c r="N9">
        <f>SUM(B9:M9)</f>
        <v>0</v>
      </c>
    </row>
    <row r="15" spans="1:14" x14ac:dyDescent="0.2">
      <c r="H15" s="83"/>
    </row>
    <row r="16" spans="1:14" x14ac:dyDescent="0.2">
      <c r="B16" s="22"/>
      <c r="C16" s="22" t="s">
        <v>123</v>
      </c>
      <c r="D16" s="22" t="s">
        <v>34</v>
      </c>
      <c r="E16" s="22" t="s">
        <v>125</v>
      </c>
      <c r="F16" s="22"/>
      <c r="G16" s="22"/>
      <c r="H16" s="22" t="s">
        <v>129</v>
      </c>
    </row>
    <row r="17" spans="2:8" x14ac:dyDescent="0.2">
      <c r="B17" s="22"/>
      <c r="C17" s="22" t="s">
        <v>122</v>
      </c>
      <c r="D17" s="22" t="s">
        <v>124</v>
      </c>
      <c r="E17" s="22" t="s">
        <v>126</v>
      </c>
      <c r="F17" s="22" t="s">
        <v>127</v>
      </c>
      <c r="G17" s="22" t="s">
        <v>128</v>
      </c>
      <c r="H17" s="22" t="s">
        <v>130</v>
      </c>
    </row>
    <row r="18" spans="2:8" x14ac:dyDescent="0.2">
      <c r="B18" s="22" t="s">
        <v>17</v>
      </c>
      <c r="C18" s="69">
        <f>B4</f>
        <v>7.8408937598693121E-2</v>
      </c>
      <c r="D18" s="69">
        <f>B5</f>
        <v>7.3999999999999996E-2</v>
      </c>
      <c r="E18" s="69">
        <f>B6</f>
        <v>7.5891603611871375E-2</v>
      </c>
      <c r="F18" s="69">
        <f>B7</f>
        <v>3.7646749131560041E-2</v>
      </c>
      <c r="G18" s="69">
        <f>B8</f>
        <v>3.9299553504161089E-2</v>
      </c>
      <c r="H18" s="69">
        <v>0.10664999999999999</v>
      </c>
    </row>
    <row r="19" spans="2:8" x14ac:dyDescent="0.2">
      <c r="B19" s="22" t="s">
        <v>20</v>
      </c>
      <c r="C19" s="69">
        <f>C4</f>
        <v>7.5600615141266383E-2</v>
      </c>
      <c r="D19" s="69">
        <f>C5</f>
        <v>7.7990000000000004E-2</v>
      </c>
      <c r="E19" s="69">
        <f>C6</f>
        <v>9.4279928416074479E-2</v>
      </c>
      <c r="F19" s="69">
        <f>C7</f>
        <v>6.6440690954192361E-2</v>
      </c>
      <c r="G19" s="69">
        <f>C8</f>
        <v>6.5273060157930732E-2</v>
      </c>
      <c r="H19" s="69">
        <v>8.9749999999999996E-2</v>
      </c>
    </row>
    <row r="20" spans="2:8" x14ac:dyDescent="0.2">
      <c r="B20" s="22" t="s">
        <v>21</v>
      </c>
      <c r="C20" s="69">
        <f>D4</f>
        <v>9.1102980464078803E-2</v>
      </c>
      <c r="D20" s="69">
        <f>D5</f>
        <v>7.6469999999999996E-2</v>
      </c>
      <c r="E20" s="69">
        <f>D6</f>
        <v>0.10439053401127524</v>
      </c>
      <c r="F20" s="69">
        <f>D7</f>
        <v>7.0773847337531295E-2</v>
      </c>
      <c r="G20" s="69">
        <f>D8</f>
        <v>6.5874131303479508E-2</v>
      </c>
      <c r="H20" s="69">
        <v>8.5739999999999997E-2</v>
      </c>
    </row>
    <row r="21" spans="2:8" x14ac:dyDescent="0.2">
      <c r="B21" s="22" t="s">
        <v>22</v>
      </c>
      <c r="C21" s="69">
        <f>E4</f>
        <v>0.10467641465037318</v>
      </c>
      <c r="D21" s="69">
        <f>E5</f>
        <v>0.12163</v>
      </c>
      <c r="E21" s="69">
        <f>E6</f>
        <v>8.690788007842136E-2</v>
      </c>
      <c r="F21" s="69">
        <f>E7</f>
        <v>9.797200454274918E-2</v>
      </c>
      <c r="G21" s="69">
        <f>E8</f>
        <v>8.0097688791119254E-2</v>
      </c>
      <c r="H21" s="69">
        <v>8.5779999999999995E-2</v>
      </c>
    </row>
    <row r="22" spans="2:8" x14ac:dyDescent="0.2">
      <c r="B22" s="22" t="s">
        <v>23</v>
      </c>
      <c r="C22" s="69">
        <f>F4</f>
        <v>6.5444139774661389E-2</v>
      </c>
      <c r="D22" s="69">
        <f>F5</f>
        <v>6.9269999999999998E-2</v>
      </c>
      <c r="E22" s="69">
        <f>F6</f>
        <v>5.5236429866117091E-2</v>
      </c>
      <c r="F22" s="69">
        <f>F7</f>
        <v>5.8742705596394378E-2</v>
      </c>
      <c r="G22" s="69">
        <f>F8</f>
        <v>5.9698727309568676E-2</v>
      </c>
      <c r="H22" s="69">
        <v>7.3090000000000002E-2</v>
      </c>
    </row>
    <row r="23" spans="2:8" x14ac:dyDescent="0.2">
      <c r="B23" s="22" t="s">
        <v>24</v>
      </c>
      <c r="C23" s="69">
        <f>G4</f>
        <v>7.0216220747652033E-2</v>
      </c>
      <c r="D23" s="69">
        <f>G5</f>
        <v>6.9839999999999999E-2</v>
      </c>
      <c r="E23" s="69">
        <f>G6</f>
        <v>8.7097603687078667E-2</v>
      </c>
      <c r="F23" s="69">
        <f>G7</f>
        <v>7.2437833330235346E-2</v>
      </c>
      <c r="G23" s="69">
        <f>G8</f>
        <v>5.9686111733731159E-2</v>
      </c>
      <c r="H23" s="69">
        <v>7.4630000000000002E-2</v>
      </c>
    </row>
    <row r="24" spans="2:8" x14ac:dyDescent="0.2">
      <c r="B24" s="22" t="s">
        <v>25</v>
      </c>
      <c r="C24" s="69">
        <f>H4</f>
        <v>7.0353270349134869E-2</v>
      </c>
      <c r="D24" s="69">
        <f>H5</f>
        <v>6.7040000000000002E-2</v>
      </c>
      <c r="E24" s="69">
        <f>H6</f>
        <v>7.6295238812851482E-2</v>
      </c>
      <c r="F24" s="69">
        <f>H7</f>
        <v>7.1901265730052663E-2</v>
      </c>
      <c r="G24" s="69">
        <f>H8</f>
        <v>9.1857971051623785E-2</v>
      </c>
      <c r="H24" s="69">
        <v>8.3470000000000003E-2</v>
      </c>
    </row>
    <row r="25" spans="2:8" x14ac:dyDescent="0.2">
      <c r="B25" s="22" t="s">
        <v>26</v>
      </c>
      <c r="C25" s="69">
        <f>I4</f>
        <v>5.5481319236425602E-2</v>
      </c>
      <c r="D25" s="69">
        <f>I5</f>
        <v>7.843E-2</v>
      </c>
      <c r="E25" s="69">
        <f>I6</f>
        <v>7.5128587840424907E-2</v>
      </c>
      <c r="F25" s="69">
        <f>I7</f>
        <v>6.6429529072464938E-2</v>
      </c>
      <c r="G25" s="69">
        <f>I8</f>
        <v>7.5603518178000859E-2</v>
      </c>
      <c r="H25" s="69">
        <v>7.2450000000000001E-2</v>
      </c>
    </row>
    <row r="26" spans="2:8" x14ac:dyDescent="0.2">
      <c r="B26" s="22" t="s">
        <v>27</v>
      </c>
      <c r="C26" s="69">
        <f>J4</f>
        <v>6.6411163179867894E-2</v>
      </c>
      <c r="D26" s="69">
        <f>J5</f>
        <v>8.1900000000000001E-2</v>
      </c>
      <c r="E26" s="69">
        <f>J6</f>
        <v>6.2313703140791203E-2</v>
      </c>
      <c r="F26" s="69">
        <f>J7</f>
        <v>7.7121495579165894E-2</v>
      </c>
      <c r="G26" s="69">
        <f>J8</f>
        <v>8.5890856761442605E-2</v>
      </c>
      <c r="H26" s="69">
        <v>6.6680000000000003E-2</v>
      </c>
    </row>
    <row r="27" spans="2:8" x14ac:dyDescent="0.2">
      <c r="B27" s="22" t="s">
        <v>28</v>
      </c>
      <c r="C27" s="69">
        <f>K4</f>
        <v>8.1989163177581134E-2</v>
      </c>
      <c r="D27" s="69">
        <f>K5</f>
        <v>0.11862</v>
      </c>
      <c r="E27" s="69">
        <f>K6</f>
        <v>7.1140725490004914E-2</v>
      </c>
      <c r="F27" s="69">
        <f>K7</f>
        <v>9.822034502150917E-2</v>
      </c>
      <c r="G27" s="69">
        <f>K8</f>
        <v>9.9846532316151079E-2</v>
      </c>
      <c r="H27" s="69">
        <v>7.5429999999999997E-2</v>
      </c>
    </row>
    <row r="28" spans="2:8" x14ac:dyDescent="0.2">
      <c r="B28" s="22" t="s">
        <v>18</v>
      </c>
      <c r="C28" s="69">
        <f>L4</f>
        <v>8.3465778559912246E-2</v>
      </c>
      <c r="D28" s="69">
        <f>L5</f>
        <v>8.2699999999999996E-2</v>
      </c>
      <c r="E28" s="69">
        <f>L6</f>
        <v>7.8458002682507078E-2</v>
      </c>
      <c r="F28" s="69">
        <f>L7</f>
        <v>6.7663645942560316E-2</v>
      </c>
      <c r="G28" s="69">
        <f>L8</f>
        <v>9.1395299673537919E-2</v>
      </c>
      <c r="H28" s="69">
        <v>8.48E-2</v>
      </c>
    </row>
    <row r="29" spans="2:8" x14ac:dyDescent="0.2">
      <c r="B29" s="22" t="s">
        <v>29</v>
      </c>
      <c r="C29" s="69">
        <f>M4</f>
        <v>0.15684999712035336</v>
      </c>
      <c r="D29" s="69">
        <f>M5</f>
        <v>8.2110000000000002E-2</v>
      </c>
      <c r="E29" s="69">
        <f>M6</f>
        <v>0.13285976236258221</v>
      </c>
      <c r="F29" s="69">
        <f>M7</f>
        <v>0.21464988776158439</v>
      </c>
      <c r="G29" s="69">
        <f>M8</f>
        <v>0.18547654921925333</v>
      </c>
      <c r="H29" s="69">
        <v>0.10153</v>
      </c>
    </row>
    <row r="30" spans="2:8" ht="13.5" thickBot="1" x14ac:dyDescent="0.25">
      <c r="B30" s="22"/>
      <c r="C30" s="70">
        <f t="shared" ref="C30:H30" si="0">SUM(C18:C29)</f>
        <v>1</v>
      </c>
      <c r="D30" s="70">
        <f t="shared" si="0"/>
        <v>1</v>
      </c>
      <c r="E30" s="70">
        <f t="shared" si="0"/>
        <v>1</v>
      </c>
      <c r="F30" s="70">
        <f t="shared" si="0"/>
        <v>1</v>
      </c>
      <c r="G30" s="70">
        <f t="shared" si="0"/>
        <v>0.99999999999999978</v>
      </c>
      <c r="H30" s="70">
        <f t="shared" si="0"/>
        <v>1</v>
      </c>
    </row>
    <row r="31" spans="2:8" ht="13.5" thickTop="1" x14ac:dyDescent="0.2"/>
  </sheetData>
  <pageMargins left="0" right="0" top="1" bottom="1" header="0.5" footer="0.5"/>
  <pageSetup scale="8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31"/>
  <sheetViews>
    <sheetView topLeftCell="B1" workbookViewId="0">
      <selection activeCell="E7" sqref="E7"/>
    </sheetView>
  </sheetViews>
  <sheetFormatPr defaultRowHeight="12.75" x14ac:dyDescent="0.2"/>
  <cols>
    <col min="1" max="1" width="40.7109375" customWidth="1"/>
    <col min="2" max="2" width="10.85546875" bestFit="1" customWidth="1"/>
    <col min="3" max="3" width="12.7109375" customWidth="1"/>
    <col min="4" max="13" width="10.7109375" bestFit="1" customWidth="1"/>
  </cols>
  <sheetData>
    <row r="3" spans="1:14" x14ac:dyDescent="0.2">
      <c r="B3" t="s">
        <v>17</v>
      </c>
      <c r="C3" t="s">
        <v>114</v>
      </c>
      <c r="D3" t="s">
        <v>119</v>
      </c>
      <c r="E3" t="s">
        <v>115</v>
      </c>
      <c r="F3" t="s">
        <v>116</v>
      </c>
      <c r="G3" t="s">
        <v>117</v>
      </c>
      <c r="H3" t="s">
        <v>118</v>
      </c>
      <c r="I3" t="s">
        <v>120</v>
      </c>
      <c r="J3" t="s">
        <v>27</v>
      </c>
      <c r="K3" t="s">
        <v>28</v>
      </c>
      <c r="L3" t="s">
        <v>18</v>
      </c>
      <c r="M3" t="s">
        <v>29</v>
      </c>
    </row>
    <row r="4" spans="1:14" x14ac:dyDescent="0.2">
      <c r="A4" t="s">
        <v>110</v>
      </c>
      <c r="B4" s="78">
        <v>0.13746900000000001</v>
      </c>
      <c r="C4" s="78">
        <v>7.7271999999999993E-2</v>
      </c>
      <c r="D4" s="78">
        <v>8.3942000000000003E-2</v>
      </c>
      <c r="E4" s="78">
        <v>7.6716000000000006E-2</v>
      </c>
      <c r="F4" s="78">
        <v>6.2087000000000003E-2</v>
      </c>
      <c r="G4" s="78">
        <v>6.3361000000000001E-2</v>
      </c>
      <c r="H4" s="78">
        <v>7.1139999999999995E-2</v>
      </c>
      <c r="I4" s="78">
        <v>6.2978000000000006E-2</v>
      </c>
      <c r="J4" s="78">
        <v>6.9080000000000003E-2</v>
      </c>
      <c r="K4" s="78">
        <v>7.7725000000000002E-2</v>
      </c>
      <c r="L4" s="78">
        <v>7.5978000000000004E-2</v>
      </c>
      <c r="M4" s="78">
        <v>0.14225199999999993</v>
      </c>
      <c r="N4">
        <f t="shared" ref="N4:N9" si="0">SUM(B4:M4)</f>
        <v>1</v>
      </c>
    </row>
    <row r="5" spans="1:14" x14ac:dyDescent="0.2">
      <c r="A5" t="s">
        <v>138</v>
      </c>
      <c r="B5" s="78">
        <v>7.5170000000000001E-2</v>
      </c>
      <c r="C5" s="78">
        <v>7.485E-2</v>
      </c>
      <c r="D5" s="78">
        <v>7.4749999999999997E-2</v>
      </c>
      <c r="E5" s="78">
        <v>0.11305999999999999</v>
      </c>
      <c r="F5" s="78">
        <v>8.2320000000000004E-2</v>
      </c>
      <c r="G5" s="78">
        <v>7.5840000000000005E-2</v>
      </c>
      <c r="H5" s="78">
        <v>7.689E-2</v>
      </c>
      <c r="I5" s="78">
        <v>7.6369999999999993E-2</v>
      </c>
      <c r="J5" s="78">
        <v>7.6679999999999998E-2</v>
      </c>
      <c r="K5" s="78">
        <v>7.6369999999999993E-2</v>
      </c>
      <c r="L5" s="78">
        <v>0.12111</v>
      </c>
      <c r="M5" s="78">
        <v>7.6590000000000005E-2</v>
      </c>
      <c r="N5">
        <f t="shared" si="0"/>
        <v>0.99999999999999989</v>
      </c>
    </row>
    <row r="6" spans="1:14" x14ac:dyDescent="0.2">
      <c r="A6" t="s">
        <v>113</v>
      </c>
      <c r="B6" s="78">
        <v>5.4253000000000003E-2</v>
      </c>
      <c r="C6" s="78">
        <v>9.7735000000000002E-2</v>
      </c>
      <c r="D6" s="78">
        <v>0.104614</v>
      </c>
      <c r="E6" s="78">
        <v>8.6303000000000005E-2</v>
      </c>
      <c r="F6" s="78">
        <v>7.6202000000000006E-2</v>
      </c>
      <c r="G6" s="78">
        <v>9.0700000000000003E-2</v>
      </c>
      <c r="H6" s="78">
        <v>5.8505000000000001E-2</v>
      </c>
      <c r="I6" s="78">
        <v>6.3169000000000003E-2</v>
      </c>
      <c r="J6" s="78">
        <v>7.6661999999999994E-2</v>
      </c>
      <c r="K6" s="78">
        <v>6.5719E-2</v>
      </c>
      <c r="L6" s="78">
        <v>9.9242999999999998E-2</v>
      </c>
      <c r="M6" s="78">
        <v>0.12689499999999998</v>
      </c>
      <c r="N6">
        <f t="shared" si="0"/>
        <v>1</v>
      </c>
    </row>
    <row r="7" spans="1:14" x14ac:dyDescent="0.2">
      <c r="A7" t="s">
        <v>82</v>
      </c>
      <c r="B7" s="78">
        <v>4.3324000000000001E-2</v>
      </c>
      <c r="C7" s="78">
        <v>6.9953000000000001E-2</v>
      </c>
      <c r="D7" s="78">
        <v>6.9436999999999999E-2</v>
      </c>
      <c r="E7" s="78">
        <v>9.9033999999999997E-2</v>
      </c>
      <c r="F7" s="78">
        <v>6.9098000000000007E-2</v>
      </c>
      <c r="G7" s="78">
        <v>6.9747000000000003E-2</v>
      </c>
      <c r="H7" s="78">
        <v>6.8274000000000001E-2</v>
      </c>
      <c r="I7" s="78">
        <v>8.0845E-2</v>
      </c>
      <c r="J7" s="78">
        <v>8.5873000000000005E-2</v>
      </c>
      <c r="K7" s="78">
        <v>8.4609000000000004E-2</v>
      </c>
      <c r="L7" s="78">
        <v>8.5203000000000001E-2</v>
      </c>
      <c r="M7" s="78">
        <v>0.17460299999999995</v>
      </c>
      <c r="N7">
        <f t="shared" si="0"/>
        <v>1</v>
      </c>
    </row>
    <row r="8" spans="1:14" x14ac:dyDescent="0.2">
      <c r="A8" t="s">
        <v>84</v>
      </c>
      <c r="B8" s="78">
        <v>4.3887000000000002E-2</v>
      </c>
      <c r="C8" s="78">
        <v>7.0364999999999997E-2</v>
      </c>
      <c r="D8" s="78">
        <v>6.8291000000000004E-2</v>
      </c>
      <c r="E8" s="78">
        <v>8.0173999999999995E-2</v>
      </c>
      <c r="F8" s="78">
        <v>7.6294000000000001E-2</v>
      </c>
      <c r="G8" s="78">
        <v>6.9074999999999998E-2</v>
      </c>
      <c r="H8" s="78">
        <v>8.8935E-2</v>
      </c>
      <c r="I8" s="78">
        <v>8.1776000000000001E-2</v>
      </c>
      <c r="J8" s="78">
        <v>7.7912999999999996E-2</v>
      </c>
      <c r="K8" s="78">
        <v>8.6072999999999997E-2</v>
      </c>
      <c r="L8" s="78">
        <v>0.10169400000000001</v>
      </c>
      <c r="M8" s="78">
        <v>0.15552300000000008</v>
      </c>
      <c r="N8">
        <f t="shared" si="0"/>
        <v>1</v>
      </c>
    </row>
    <row r="9" spans="1:14" x14ac:dyDescent="0.2">
      <c r="A9" t="s">
        <v>121</v>
      </c>
      <c r="B9" s="79">
        <f>H18</f>
        <v>0.12113500000000001</v>
      </c>
      <c r="C9" s="79">
        <f>H19</f>
        <v>0.11433699999999999</v>
      </c>
      <c r="D9" s="79">
        <f>H20</f>
        <v>0.108518</v>
      </c>
      <c r="E9" s="79">
        <f>H21</f>
        <v>9.7825999999999996E-2</v>
      </c>
      <c r="F9" s="78">
        <f>$H22</f>
        <v>7.5416999999999998E-2</v>
      </c>
      <c r="G9" s="78">
        <f>$H23</f>
        <v>6.4089999999999994E-2</v>
      </c>
      <c r="H9" s="78">
        <f>$H24</f>
        <v>6.1108999999999997E-2</v>
      </c>
      <c r="I9" s="78">
        <f>$H25</f>
        <v>5.6710000000000003E-2</v>
      </c>
      <c r="J9" s="78">
        <f>$H26</f>
        <v>6.3271999999999995E-2</v>
      </c>
      <c r="K9" s="78">
        <f>$H27</f>
        <v>7.4123999999999995E-2</v>
      </c>
      <c r="L9" s="78">
        <f>$H28</f>
        <v>8.0226000000000006E-2</v>
      </c>
      <c r="M9" s="78">
        <f>$H29</f>
        <v>8.3236000000000088E-2</v>
      </c>
      <c r="N9">
        <f t="shared" si="0"/>
        <v>1</v>
      </c>
    </row>
    <row r="16" spans="1:14" x14ac:dyDescent="0.2">
      <c r="B16" s="22"/>
      <c r="C16" s="22" t="s">
        <v>123</v>
      </c>
      <c r="D16" s="22" t="s">
        <v>34</v>
      </c>
      <c r="E16" s="22" t="s">
        <v>125</v>
      </c>
      <c r="F16" s="22"/>
      <c r="G16" s="22"/>
      <c r="H16" s="22" t="s">
        <v>129</v>
      </c>
    </row>
    <row r="17" spans="2:8" x14ac:dyDescent="0.2">
      <c r="B17" s="22"/>
      <c r="C17" s="22" t="s">
        <v>122</v>
      </c>
      <c r="D17" s="22" t="s">
        <v>124</v>
      </c>
      <c r="E17" s="22" t="s">
        <v>126</v>
      </c>
      <c r="F17" s="22" t="s">
        <v>127</v>
      </c>
      <c r="G17" s="22" t="s">
        <v>128</v>
      </c>
      <c r="H17" s="22" t="s">
        <v>130</v>
      </c>
    </row>
    <row r="18" spans="2:8" x14ac:dyDescent="0.2">
      <c r="B18" s="22" t="s">
        <v>17</v>
      </c>
      <c r="C18" s="69">
        <f>B4</f>
        <v>0.13746900000000001</v>
      </c>
      <c r="D18" s="69">
        <f>B5</f>
        <v>7.5170000000000001E-2</v>
      </c>
      <c r="E18" s="69">
        <f>B6</f>
        <v>5.4253000000000003E-2</v>
      </c>
      <c r="F18" s="69">
        <f>B7</f>
        <v>4.3324000000000001E-2</v>
      </c>
      <c r="G18" s="69">
        <f>B8</f>
        <v>4.3887000000000002E-2</v>
      </c>
      <c r="H18" s="69">
        <v>0.12113500000000001</v>
      </c>
    </row>
    <row r="19" spans="2:8" x14ac:dyDescent="0.2">
      <c r="B19" s="22" t="s">
        <v>20</v>
      </c>
      <c r="C19" s="69">
        <f>C4</f>
        <v>7.7271999999999993E-2</v>
      </c>
      <c r="D19" s="69">
        <f>C5</f>
        <v>7.485E-2</v>
      </c>
      <c r="E19" s="69">
        <f>C6</f>
        <v>9.7735000000000002E-2</v>
      </c>
      <c r="F19" s="69">
        <f>C7</f>
        <v>6.9953000000000001E-2</v>
      </c>
      <c r="G19" s="69">
        <f>C8</f>
        <v>7.0364999999999997E-2</v>
      </c>
      <c r="H19" s="69">
        <v>0.11433699999999999</v>
      </c>
    </row>
    <row r="20" spans="2:8" x14ac:dyDescent="0.2">
      <c r="B20" s="22" t="s">
        <v>21</v>
      </c>
      <c r="C20" s="69">
        <f>D4</f>
        <v>8.3942000000000003E-2</v>
      </c>
      <c r="D20" s="69">
        <f>D5</f>
        <v>7.4749999999999997E-2</v>
      </c>
      <c r="E20" s="69">
        <f>D6</f>
        <v>0.104614</v>
      </c>
      <c r="F20" s="69">
        <f>D7</f>
        <v>6.9436999999999999E-2</v>
      </c>
      <c r="G20" s="69">
        <f>D8</f>
        <v>6.8291000000000004E-2</v>
      </c>
      <c r="H20" s="69">
        <v>0.108518</v>
      </c>
    </row>
    <row r="21" spans="2:8" x14ac:dyDescent="0.2">
      <c r="B21" s="22" t="s">
        <v>22</v>
      </c>
      <c r="C21" s="69">
        <f>E4</f>
        <v>7.6716000000000006E-2</v>
      </c>
      <c r="D21" s="69">
        <f>E5</f>
        <v>0.11305999999999999</v>
      </c>
      <c r="E21" s="69">
        <f>E6</f>
        <v>8.6303000000000005E-2</v>
      </c>
      <c r="F21" s="69">
        <f>E7</f>
        <v>9.9033999999999997E-2</v>
      </c>
      <c r="G21" s="69">
        <f>E8</f>
        <v>8.0173999999999995E-2</v>
      </c>
      <c r="H21" s="69">
        <v>9.7825999999999996E-2</v>
      </c>
    </row>
    <row r="22" spans="2:8" x14ac:dyDescent="0.2">
      <c r="B22" s="22" t="s">
        <v>23</v>
      </c>
      <c r="C22" s="69">
        <f>F4</f>
        <v>6.2087000000000003E-2</v>
      </c>
      <c r="D22" s="69">
        <f>F5</f>
        <v>8.2320000000000004E-2</v>
      </c>
      <c r="E22" s="69">
        <f>F6</f>
        <v>7.6202000000000006E-2</v>
      </c>
      <c r="F22" s="69">
        <f>F7</f>
        <v>6.9098000000000007E-2</v>
      </c>
      <c r="G22" s="69">
        <f>F8</f>
        <v>7.6294000000000001E-2</v>
      </c>
      <c r="H22" s="69">
        <v>7.5416999999999998E-2</v>
      </c>
    </row>
    <row r="23" spans="2:8" x14ac:dyDescent="0.2">
      <c r="B23" s="22" t="s">
        <v>24</v>
      </c>
      <c r="C23" s="69">
        <f>G4</f>
        <v>6.3361000000000001E-2</v>
      </c>
      <c r="D23" s="69">
        <f>G5</f>
        <v>7.5840000000000005E-2</v>
      </c>
      <c r="E23" s="69">
        <f>G6</f>
        <v>9.0700000000000003E-2</v>
      </c>
      <c r="F23" s="69">
        <f>G7</f>
        <v>6.9747000000000003E-2</v>
      </c>
      <c r="G23" s="69">
        <f>G8</f>
        <v>6.9074999999999998E-2</v>
      </c>
      <c r="H23" s="69">
        <v>6.4089999999999994E-2</v>
      </c>
    </row>
    <row r="24" spans="2:8" x14ac:dyDescent="0.2">
      <c r="B24" s="22" t="s">
        <v>25</v>
      </c>
      <c r="C24" s="69">
        <f>H4</f>
        <v>7.1139999999999995E-2</v>
      </c>
      <c r="D24" s="69">
        <f>H5</f>
        <v>7.689E-2</v>
      </c>
      <c r="E24" s="69">
        <f>H6</f>
        <v>5.8505000000000001E-2</v>
      </c>
      <c r="F24" s="69">
        <f>H7</f>
        <v>6.8274000000000001E-2</v>
      </c>
      <c r="G24" s="69">
        <f>H8</f>
        <v>8.8935E-2</v>
      </c>
      <c r="H24" s="69">
        <v>6.1108999999999997E-2</v>
      </c>
    </row>
    <row r="25" spans="2:8" x14ac:dyDescent="0.2">
      <c r="B25" s="22" t="s">
        <v>26</v>
      </c>
      <c r="C25" s="69">
        <f>I4</f>
        <v>6.2978000000000006E-2</v>
      </c>
      <c r="D25" s="69">
        <f>I5</f>
        <v>7.6369999999999993E-2</v>
      </c>
      <c r="E25" s="69">
        <f>I6</f>
        <v>6.3169000000000003E-2</v>
      </c>
      <c r="F25" s="69">
        <f>I7</f>
        <v>8.0845E-2</v>
      </c>
      <c r="G25" s="69">
        <f>I8</f>
        <v>8.1776000000000001E-2</v>
      </c>
      <c r="H25" s="69">
        <v>5.6710000000000003E-2</v>
      </c>
    </row>
    <row r="26" spans="2:8" x14ac:dyDescent="0.2">
      <c r="B26" s="22" t="s">
        <v>27</v>
      </c>
      <c r="C26" s="69">
        <f>J4</f>
        <v>6.9080000000000003E-2</v>
      </c>
      <c r="D26" s="69">
        <f>J5</f>
        <v>7.6679999999999998E-2</v>
      </c>
      <c r="E26" s="69">
        <f>J6</f>
        <v>7.6661999999999994E-2</v>
      </c>
      <c r="F26" s="69">
        <f>J7</f>
        <v>8.5873000000000005E-2</v>
      </c>
      <c r="G26" s="69">
        <f>J8</f>
        <v>7.7912999999999996E-2</v>
      </c>
      <c r="H26" s="69">
        <v>6.3271999999999995E-2</v>
      </c>
    </row>
    <row r="27" spans="2:8" x14ac:dyDescent="0.2">
      <c r="B27" s="22" t="s">
        <v>28</v>
      </c>
      <c r="C27" s="69">
        <f>K4</f>
        <v>7.7725000000000002E-2</v>
      </c>
      <c r="D27" s="69">
        <f>K5</f>
        <v>7.6369999999999993E-2</v>
      </c>
      <c r="E27" s="69">
        <f>K6</f>
        <v>6.5719E-2</v>
      </c>
      <c r="F27" s="69">
        <f>K7</f>
        <v>8.4609000000000004E-2</v>
      </c>
      <c r="G27" s="69">
        <f>K8</f>
        <v>8.6072999999999997E-2</v>
      </c>
      <c r="H27" s="69">
        <v>7.4123999999999995E-2</v>
      </c>
    </row>
    <row r="28" spans="2:8" x14ac:dyDescent="0.2">
      <c r="B28" s="22" t="s">
        <v>18</v>
      </c>
      <c r="C28" s="69">
        <f>L4</f>
        <v>7.5978000000000004E-2</v>
      </c>
      <c r="D28" s="69">
        <f>L5</f>
        <v>0.12111</v>
      </c>
      <c r="E28" s="69">
        <f>L6</f>
        <v>9.9242999999999998E-2</v>
      </c>
      <c r="F28" s="69">
        <f>L7</f>
        <v>8.5203000000000001E-2</v>
      </c>
      <c r="G28" s="69">
        <f>L8</f>
        <v>0.10169400000000001</v>
      </c>
      <c r="H28" s="69">
        <v>8.0226000000000006E-2</v>
      </c>
    </row>
    <row r="29" spans="2:8" x14ac:dyDescent="0.2">
      <c r="B29" s="22" t="s">
        <v>29</v>
      </c>
      <c r="C29" s="69">
        <f>M4</f>
        <v>0.14225199999999993</v>
      </c>
      <c r="D29" s="69">
        <f>M5</f>
        <v>7.6590000000000005E-2</v>
      </c>
      <c r="E29" s="69">
        <f>M6</f>
        <v>0.12689499999999998</v>
      </c>
      <c r="F29" s="69">
        <f>M7</f>
        <v>0.17460299999999995</v>
      </c>
      <c r="G29" s="69">
        <f>M8</f>
        <v>0.15552300000000008</v>
      </c>
      <c r="H29" s="69">
        <v>8.3236000000000088E-2</v>
      </c>
    </row>
    <row r="30" spans="2:8" ht="13.5" thickBot="1" x14ac:dyDescent="0.25">
      <c r="B30" s="22"/>
      <c r="C30" s="70">
        <f t="shared" ref="C30:H30" si="1">SUM(C18:C29)</f>
        <v>1</v>
      </c>
      <c r="D30" s="70">
        <f t="shared" si="1"/>
        <v>0.99999999999999989</v>
      </c>
      <c r="E30" s="70">
        <f t="shared" si="1"/>
        <v>1</v>
      </c>
      <c r="F30" s="70">
        <f t="shared" si="1"/>
        <v>1</v>
      </c>
      <c r="G30" s="70">
        <f t="shared" si="1"/>
        <v>1</v>
      </c>
      <c r="H30" s="70">
        <f t="shared" si="1"/>
        <v>1</v>
      </c>
    </row>
    <row r="31" spans="2:8" ht="13.5" thickTop="1" x14ac:dyDescent="0.2"/>
  </sheetData>
  <pageMargins left="0" right="0" top="1" bottom="1" header="0.5" footer="0.5"/>
  <pageSetup scale="8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31"/>
  <sheetViews>
    <sheetView topLeftCell="A2" workbookViewId="0">
      <selection activeCell="B9" sqref="B9"/>
    </sheetView>
  </sheetViews>
  <sheetFormatPr defaultRowHeight="12.75" x14ac:dyDescent="0.2"/>
  <cols>
    <col min="1" max="1" width="44.140625" bestFit="1" customWidth="1"/>
    <col min="2" max="2" width="9.85546875" bestFit="1" customWidth="1"/>
    <col min="3" max="3" width="12.7109375" customWidth="1"/>
    <col min="4" max="4" width="8.7109375" bestFit="1" customWidth="1"/>
    <col min="5" max="13" width="9.7109375" bestFit="1" customWidth="1"/>
  </cols>
  <sheetData>
    <row r="3" spans="1:14" x14ac:dyDescent="0.2">
      <c r="B3" t="s">
        <v>17</v>
      </c>
      <c r="C3" t="s">
        <v>114</v>
      </c>
      <c r="D3" t="s">
        <v>119</v>
      </c>
      <c r="E3" t="s">
        <v>115</v>
      </c>
      <c r="F3" t="s">
        <v>116</v>
      </c>
      <c r="G3" t="s">
        <v>117</v>
      </c>
      <c r="H3" t="s">
        <v>118</v>
      </c>
      <c r="I3" t="s">
        <v>120</v>
      </c>
      <c r="J3" t="s">
        <v>27</v>
      </c>
      <c r="K3" t="s">
        <v>28</v>
      </c>
      <c r="L3" t="s">
        <v>18</v>
      </c>
      <c r="M3" t="s">
        <v>29</v>
      </c>
    </row>
    <row r="4" spans="1:14" x14ac:dyDescent="0.2">
      <c r="A4" t="s">
        <v>110</v>
      </c>
      <c r="B4" s="12">
        <v>6.2630000000000005E-2</v>
      </c>
      <c r="C4" s="12">
        <v>8.6440000000000003E-2</v>
      </c>
      <c r="D4" s="12">
        <v>9.3429999999999999E-2</v>
      </c>
      <c r="E4" s="12">
        <v>8.0409999999999995E-2</v>
      </c>
      <c r="F4" s="12">
        <v>6.4899999999999999E-2</v>
      </c>
      <c r="G4" s="12">
        <v>7.4990000000000001E-2</v>
      </c>
      <c r="H4" s="12">
        <v>7.0480000000000001E-2</v>
      </c>
      <c r="I4" s="12">
        <v>7.1620000000000003E-2</v>
      </c>
      <c r="J4" s="12">
        <v>6.7669999999999994E-2</v>
      </c>
      <c r="K4" s="12">
        <v>8.1970000000000001E-2</v>
      </c>
      <c r="L4" s="12">
        <v>9.3649999999999997E-2</v>
      </c>
      <c r="M4" s="12">
        <v>0.15181</v>
      </c>
      <c r="N4">
        <f t="shared" ref="N4:N12" si="0">SUM(B4:M4)</f>
        <v>1</v>
      </c>
    </row>
    <row r="5" spans="1:14" x14ac:dyDescent="0.2">
      <c r="A5" t="s">
        <v>138</v>
      </c>
      <c r="B5" s="12">
        <v>7.6920000000000002E-2</v>
      </c>
      <c r="C5" s="12">
        <f>0.07692+0.00001</f>
        <v>7.6929999999999998E-2</v>
      </c>
      <c r="D5" s="12">
        <v>7.6920000000000002E-2</v>
      </c>
      <c r="E5" s="12">
        <v>7.6920000000000002E-2</v>
      </c>
      <c r="F5" s="12">
        <f>0.07692+0.00001</f>
        <v>7.6929999999999998E-2</v>
      </c>
      <c r="G5" s="12">
        <v>0.11538</v>
      </c>
      <c r="H5" s="12">
        <v>7.6920000000000002E-2</v>
      </c>
      <c r="I5" s="12">
        <f>0.07692+0.00001</f>
        <v>7.6929999999999998E-2</v>
      </c>
      <c r="J5" s="12">
        <v>7.6920000000000002E-2</v>
      </c>
      <c r="K5" s="12">
        <v>7.6920000000000002E-2</v>
      </c>
      <c r="L5" s="12">
        <f>0.07692+0.00001</f>
        <v>7.6929999999999998E-2</v>
      </c>
      <c r="M5" s="12">
        <v>0.11538</v>
      </c>
      <c r="N5">
        <f>SUM(B5:M5)</f>
        <v>1</v>
      </c>
    </row>
    <row r="6" spans="1:14" x14ac:dyDescent="0.2">
      <c r="A6" t="s">
        <v>113</v>
      </c>
      <c r="B6" s="12">
        <v>4.8129999999999999E-2</v>
      </c>
      <c r="C6" s="12">
        <v>8.2170000000000007E-2</v>
      </c>
      <c r="D6" s="12">
        <v>8.8099999999999998E-2</v>
      </c>
      <c r="E6" s="12">
        <v>8.5599999999999996E-2</v>
      </c>
      <c r="F6" s="12">
        <v>8.5209999999999994E-2</v>
      </c>
      <c r="G6" s="12">
        <v>9.602999999999999E-2</v>
      </c>
      <c r="H6" s="12">
        <v>6.5850000000000006E-2</v>
      </c>
      <c r="I6" s="12">
        <v>6.6960000000000006E-2</v>
      </c>
      <c r="J6" s="12">
        <v>7.9369999999999996E-2</v>
      </c>
      <c r="K6" s="12">
        <v>6.6350000000000006E-2</v>
      </c>
      <c r="L6" s="12">
        <v>0.10252</v>
      </c>
      <c r="M6" s="12">
        <v>0.13371</v>
      </c>
      <c r="N6">
        <f t="shared" si="0"/>
        <v>1</v>
      </c>
    </row>
    <row r="7" spans="1:14" x14ac:dyDescent="0.2">
      <c r="A7" t="s">
        <v>82</v>
      </c>
      <c r="B7" s="12">
        <v>3.8629999999999998E-2</v>
      </c>
      <c r="C7" s="12">
        <v>6.2050000000000001E-2</v>
      </c>
      <c r="D7" s="12">
        <v>7.6969999999999997E-2</v>
      </c>
      <c r="E7" s="12">
        <v>9.1810000000000003E-2</v>
      </c>
      <c r="F7" s="12">
        <v>8.133E-2</v>
      </c>
      <c r="G7" s="12">
        <v>6.8870000000000001E-2</v>
      </c>
      <c r="H7" s="12">
        <v>7.0580000000000004E-2</v>
      </c>
      <c r="I7" s="12">
        <v>7.1429999999999993E-2</v>
      </c>
      <c r="J7" s="12">
        <v>8.6550000000000002E-2</v>
      </c>
      <c r="K7" s="12">
        <v>7.9119999999999996E-2</v>
      </c>
      <c r="L7" s="12">
        <v>8.6559999999999998E-2</v>
      </c>
      <c r="M7" s="12">
        <v>0.18609999999999999</v>
      </c>
      <c r="N7">
        <f t="shared" si="0"/>
        <v>1</v>
      </c>
    </row>
    <row r="8" spans="1:14" x14ac:dyDescent="0.2">
      <c r="A8" t="s">
        <v>84</v>
      </c>
      <c r="B8" s="12">
        <v>3.6150000000000002E-2</v>
      </c>
      <c r="C8" s="12">
        <v>6.3850000000000004E-2</v>
      </c>
      <c r="D8" s="12">
        <v>7.7329999999999996E-2</v>
      </c>
      <c r="E8" s="12">
        <v>7.1629999999999999E-2</v>
      </c>
      <c r="F8" s="12">
        <v>9.7519999999999996E-2</v>
      </c>
      <c r="G8" s="12">
        <v>6.4850000000000005E-2</v>
      </c>
      <c r="H8" s="12">
        <v>9.2350000000000002E-2</v>
      </c>
      <c r="I8" s="12">
        <v>7.9200000000000007E-2</v>
      </c>
      <c r="J8" s="12">
        <v>9.0950000000000003E-2</v>
      </c>
      <c r="K8" s="12">
        <v>7.8219999999999998E-2</v>
      </c>
      <c r="L8" s="12">
        <v>8.7499999999999994E-2</v>
      </c>
      <c r="M8" s="12">
        <v>0.16045000000000001</v>
      </c>
      <c r="N8">
        <f t="shared" si="0"/>
        <v>1</v>
      </c>
    </row>
    <row r="9" spans="1:14" x14ac:dyDescent="0.2">
      <c r="A9" t="s">
        <v>121</v>
      </c>
      <c r="B9" s="12">
        <v>9.5159999999999995E-2</v>
      </c>
      <c r="C9" s="12">
        <v>9.6339999999999995E-2</v>
      </c>
      <c r="D9" s="12">
        <v>9.085E-2</v>
      </c>
      <c r="E9" s="12">
        <v>8.5559999999999997E-2</v>
      </c>
      <c r="F9" s="12">
        <v>7.7130000000000004E-2</v>
      </c>
      <c r="G9" s="12">
        <v>7.2520000000000001E-2</v>
      </c>
      <c r="H9" s="12">
        <v>7.5300000000000006E-2</v>
      </c>
      <c r="I9" s="12">
        <v>6.5449999999999994E-2</v>
      </c>
      <c r="J9" s="12">
        <v>6.8890000000000007E-2</v>
      </c>
      <c r="K9" s="12">
        <v>8.6870000000000003E-2</v>
      </c>
      <c r="L9" s="12">
        <v>8.9219999999999994E-2</v>
      </c>
      <c r="M9" s="12">
        <v>9.6710000000000004E-2</v>
      </c>
      <c r="N9">
        <f>SUM(B9:M9)</f>
        <v>1</v>
      </c>
    </row>
    <row r="11" spans="1:14" x14ac:dyDescent="0.2">
      <c r="B11">
        <v>6.2629340131562655E-2</v>
      </c>
      <c r="C11">
        <v>8.6442688293706813E-2</v>
      </c>
      <c r="D11">
        <v>9.3427062160207019E-2</v>
      </c>
      <c r="E11">
        <v>8.0412999067422969E-2</v>
      </c>
      <c r="F11">
        <v>6.4895771709788927E-2</v>
      </c>
      <c r="G11">
        <v>7.4988731158060803E-2</v>
      </c>
      <c r="H11">
        <v>7.0479765321734569E-2</v>
      </c>
      <c r="I11">
        <v>7.1615341089547216E-2</v>
      </c>
      <c r="J11">
        <v>6.767036282758826E-2</v>
      </c>
      <c r="K11">
        <v>8.1974547609439397E-2</v>
      </c>
      <c r="L11">
        <v>9.364678586949883E-2</v>
      </c>
      <c r="M11">
        <v>0.15181660476144254</v>
      </c>
      <c r="N11">
        <f t="shared" si="0"/>
        <v>1</v>
      </c>
    </row>
    <row r="12" spans="1:14" x14ac:dyDescent="0.2">
      <c r="B12">
        <f>ROUND((B11),5)</f>
        <v>6.2630000000000005E-2</v>
      </c>
      <c r="C12">
        <f t="shared" ref="C12:L12" si="1">ROUND((C11),5)</f>
        <v>8.6440000000000003E-2</v>
      </c>
      <c r="D12">
        <f t="shared" si="1"/>
        <v>9.3429999999999999E-2</v>
      </c>
      <c r="E12">
        <f t="shared" si="1"/>
        <v>8.0409999999999995E-2</v>
      </c>
      <c r="F12">
        <f t="shared" si="1"/>
        <v>6.4899999999999999E-2</v>
      </c>
      <c r="G12">
        <f>ROUND((G11),5)</f>
        <v>7.4990000000000001E-2</v>
      </c>
      <c r="H12">
        <f t="shared" si="1"/>
        <v>7.0480000000000001E-2</v>
      </c>
      <c r="I12">
        <f t="shared" si="1"/>
        <v>7.1620000000000003E-2</v>
      </c>
      <c r="J12">
        <f t="shared" si="1"/>
        <v>6.7669999999999994E-2</v>
      </c>
      <c r="K12">
        <f t="shared" si="1"/>
        <v>8.1970000000000001E-2</v>
      </c>
      <c r="L12">
        <f t="shared" si="1"/>
        <v>9.3649999999999997E-2</v>
      </c>
      <c r="M12">
        <f>ROUND((M11),5)-0.00001</f>
        <v>0.15181</v>
      </c>
      <c r="N12">
        <f t="shared" si="0"/>
        <v>1</v>
      </c>
    </row>
    <row r="16" spans="1:14" x14ac:dyDescent="0.2">
      <c r="B16" s="22"/>
      <c r="C16" s="22" t="s">
        <v>123</v>
      </c>
      <c r="D16" s="22" t="s">
        <v>34</v>
      </c>
      <c r="E16" s="22" t="s">
        <v>125</v>
      </c>
      <c r="F16" s="22"/>
      <c r="G16" s="22"/>
      <c r="H16" s="22" t="s">
        <v>129</v>
      </c>
    </row>
    <row r="17" spans="2:8" x14ac:dyDescent="0.2">
      <c r="B17" s="22"/>
      <c r="C17" s="22" t="s">
        <v>122</v>
      </c>
      <c r="D17" s="22" t="s">
        <v>124</v>
      </c>
      <c r="E17" s="22" t="s">
        <v>126</v>
      </c>
      <c r="F17" s="22" t="s">
        <v>127</v>
      </c>
      <c r="G17" s="22" t="s">
        <v>128</v>
      </c>
      <c r="H17" s="22" t="s">
        <v>130</v>
      </c>
    </row>
    <row r="18" spans="2:8" x14ac:dyDescent="0.2">
      <c r="B18" s="22" t="s">
        <v>17</v>
      </c>
      <c r="C18" s="33">
        <f>B4</f>
        <v>6.2630000000000005E-2</v>
      </c>
      <c r="D18" s="33">
        <f>B5</f>
        <v>7.6920000000000002E-2</v>
      </c>
      <c r="E18" s="33">
        <f>B6</f>
        <v>4.8129999999999999E-2</v>
      </c>
      <c r="F18" s="33">
        <f>B7</f>
        <v>3.8629999999999998E-2</v>
      </c>
      <c r="G18" s="33">
        <f>B8</f>
        <v>3.6150000000000002E-2</v>
      </c>
      <c r="H18" s="33">
        <f>B9</f>
        <v>9.5159999999999995E-2</v>
      </c>
    </row>
    <row r="19" spans="2:8" x14ac:dyDescent="0.2">
      <c r="B19" s="22" t="s">
        <v>20</v>
      </c>
      <c r="C19" s="33">
        <f>C4</f>
        <v>8.6440000000000003E-2</v>
      </c>
      <c r="D19" s="33">
        <f>C5</f>
        <v>7.6929999999999998E-2</v>
      </c>
      <c r="E19" s="33">
        <f>C6</f>
        <v>8.2170000000000007E-2</v>
      </c>
      <c r="F19" s="33">
        <f>C7</f>
        <v>6.2050000000000001E-2</v>
      </c>
      <c r="G19" s="33">
        <f>C8</f>
        <v>6.3850000000000004E-2</v>
      </c>
      <c r="H19" s="33">
        <f>C9</f>
        <v>9.6339999999999995E-2</v>
      </c>
    </row>
    <row r="20" spans="2:8" x14ac:dyDescent="0.2">
      <c r="B20" s="22" t="s">
        <v>21</v>
      </c>
      <c r="C20" s="33">
        <f>D4</f>
        <v>9.3429999999999999E-2</v>
      </c>
      <c r="D20" s="33">
        <f>D5</f>
        <v>7.6920000000000002E-2</v>
      </c>
      <c r="E20" s="33">
        <f>D6</f>
        <v>8.8099999999999998E-2</v>
      </c>
      <c r="F20" s="33">
        <f>D7</f>
        <v>7.6969999999999997E-2</v>
      </c>
      <c r="G20" s="33">
        <f>D8</f>
        <v>7.7329999999999996E-2</v>
      </c>
      <c r="H20" s="33">
        <f>D9</f>
        <v>9.085E-2</v>
      </c>
    </row>
    <row r="21" spans="2:8" x14ac:dyDescent="0.2">
      <c r="B21" s="22" t="s">
        <v>22</v>
      </c>
      <c r="C21" s="33">
        <f>E4</f>
        <v>8.0409999999999995E-2</v>
      </c>
      <c r="D21" s="33">
        <f>E5</f>
        <v>7.6920000000000002E-2</v>
      </c>
      <c r="E21" s="33">
        <f>E6</f>
        <v>8.5599999999999996E-2</v>
      </c>
      <c r="F21" s="33">
        <f>E7</f>
        <v>9.1810000000000003E-2</v>
      </c>
      <c r="G21" s="33">
        <f>E8</f>
        <v>7.1629999999999999E-2</v>
      </c>
      <c r="H21" s="33">
        <f>E9</f>
        <v>8.5559999999999997E-2</v>
      </c>
    </row>
    <row r="22" spans="2:8" x14ac:dyDescent="0.2">
      <c r="B22" s="22" t="s">
        <v>23</v>
      </c>
      <c r="C22" s="33">
        <f>F4</f>
        <v>6.4899999999999999E-2</v>
      </c>
      <c r="D22" s="33">
        <f>F5</f>
        <v>7.6929999999999998E-2</v>
      </c>
      <c r="E22" s="33">
        <f>F6</f>
        <v>8.5209999999999994E-2</v>
      </c>
      <c r="F22" s="33">
        <f>F7</f>
        <v>8.133E-2</v>
      </c>
      <c r="G22" s="33">
        <f>F8</f>
        <v>9.7519999999999996E-2</v>
      </c>
      <c r="H22" s="33">
        <f>F9</f>
        <v>7.7130000000000004E-2</v>
      </c>
    </row>
    <row r="23" spans="2:8" x14ac:dyDescent="0.2">
      <c r="B23" s="22" t="s">
        <v>24</v>
      </c>
      <c r="C23" s="33">
        <f>G4</f>
        <v>7.4990000000000001E-2</v>
      </c>
      <c r="D23" s="33">
        <f>G5</f>
        <v>0.11538</v>
      </c>
      <c r="E23" s="33">
        <f>G6</f>
        <v>9.602999999999999E-2</v>
      </c>
      <c r="F23" s="33">
        <f>G7</f>
        <v>6.8870000000000001E-2</v>
      </c>
      <c r="G23" s="33">
        <f>G8</f>
        <v>6.4850000000000005E-2</v>
      </c>
      <c r="H23" s="33">
        <f>G9</f>
        <v>7.2520000000000001E-2</v>
      </c>
    </row>
    <row r="24" spans="2:8" x14ac:dyDescent="0.2">
      <c r="B24" s="22" t="s">
        <v>25</v>
      </c>
      <c r="C24" s="33">
        <f>H4</f>
        <v>7.0480000000000001E-2</v>
      </c>
      <c r="D24" s="33">
        <f>H5</f>
        <v>7.6920000000000002E-2</v>
      </c>
      <c r="E24" s="33">
        <f>H6</f>
        <v>6.5850000000000006E-2</v>
      </c>
      <c r="F24" s="33">
        <f>H7</f>
        <v>7.0580000000000004E-2</v>
      </c>
      <c r="G24" s="33">
        <f>H8</f>
        <v>9.2350000000000002E-2</v>
      </c>
      <c r="H24" s="33">
        <f>H9</f>
        <v>7.5300000000000006E-2</v>
      </c>
    </row>
    <row r="25" spans="2:8" x14ac:dyDescent="0.2">
      <c r="B25" s="22" t="s">
        <v>26</v>
      </c>
      <c r="C25" s="33">
        <f>I4</f>
        <v>7.1620000000000003E-2</v>
      </c>
      <c r="D25" s="33">
        <f>I5</f>
        <v>7.6929999999999998E-2</v>
      </c>
      <c r="E25" s="33">
        <f>I6</f>
        <v>6.6960000000000006E-2</v>
      </c>
      <c r="F25" s="33">
        <f>I7</f>
        <v>7.1429999999999993E-2</v>
      </c>
      <c r="G25" s="33">
        <f>I8</f>
        <v>7.9200000000000007E-2</v>
      </c>
      <c r="H25" s="33">
        <f>I9</f>
        <v>6.5449999999999994E-2</v>
      </c>
    </row>
    <row r="26" spans="2:8" x14ac:dyDescent="0.2">
      <c r="B26" s="22" t="s">
        <v>27</v>
      </c>
      <c r="C26" s="33">
        <f>J4</f>
        <v>6.7669999999999994E-2</v>
      </c>
      <c r="D26" s="33">
        <f>J5</f>
        <v>7.6920000000000002E-2</v>
      </c>
      <c r="E26" s="33">
        <f>J6</f>
        <v>7.9369999999999996E-2</v>
      </c>
      <c r="F26" s="33">
        <f>J7</f>
        <v>8.6550000000000002E-2</v>
      </c>
      <c r="G26" s="33">
        <f>J8</f>
        <v>9.0950000000000003E-2</v>
      </c>
      <c r="H26" s="33">
        <f>J9</f>
        <v>6.8890000000000007E-2</v>
      </c>
    </row>
    <row r="27" spans="2:8" x14ac:dyDescent="0.2">
      <c r="B27" s="22" t="s">
        <v>28</v>
      </c>
      <c r="C27" s="33">
        <f>K4</f>
        <v>8.1970000000000001E-2</v>
      </c>
      <c r="D27" s="33">
        <f>K5</f>
        <v>7.6920000000000002E-2</v>
      </c>
      <c r="E27" s="33">
        <f>K6</f>
        <v>6.6350000000000006E-2</v>
      </c>
      <c r="F27" s="33">
        <f>K7</f>
        <v>7.9119999999999996E-2</v>
      </c>
      <c r="G27" s="33">
        <f>K8</f>
        <v>7.8219999999999998E-2</v>
      </c>
      <c r="H27" s="33">
        <f>K9</f>
        <v>8.6870000000000003E-2</v>
      </c>
    </row>
    <row r="28" spans="2:8" x14ac:dyDescent="0.2">
      <c r="B28" s="22" t="s">
        <v>18</v>
      </c>
      <c r="C28" s="33">
        <f>L4</f>
        <v>9.3649999999999997E-2</v>
      </c>
      <c r="D28" s="33">
        <f>L5</f>
        <v>7.6929999999999998E-2</v>
      </c>
      <c r="E28" s="33">
        <f>L6</f>
        <v>0.10252</v>
      </c>
      <c r="F28" s="33">
        <f>L7</f>
        <v>8.6559999999999998E-2</v>
      </c>
      <c r="G28" s="33">
        <f>L8</f>
        <v>8.7499999999999994E-2</v>
      </c>
      <c r="H28" s="33">
        <f>L9</f>
        <v>8.9219999999999994E-2</v>
      </c>
    </row>
    <row r="29" spans="2:8" x14ac:dyDescent="0.2">
      <c r="B29" s="22" t="s">
        <v>29</v>
      </c>
      <c r="C29" s="33">
        <f>M4</f>
        <v>0.15181</v>
      </c>
      <c r="D29" s="33">
        <f>M5</f>
        <v>0.11538</v>
      </c>
      <c r="E29" s="33">
        <f>M6</f>
        <v>0.13371</v>
      </c>
      <c r="F29" s="33">
        <f>M7</f>
        <v>0.18609999999999999</v>
      </c>
      <c r="G29" s="33">
        <f>M8</f>
        <v>0.16045000000000001</v>
      </c>
      <c r="H29" s="33">
        <f>M9</f>
        <v>9.6710000000000004E-2</v>
      </c>
    </row>
    <row r="30" spans="2:8" ht="13.5" thickBot="1" x14ac:dyDescent="0.25">
      <c r="B30" s="22"/>
      <c r="C30" s="34">
        <f t="shared" ref="C30:H30" si="2">SUM(C18:C29)</f>
        <v>1</v>
      </c>
      <c r="D30" s="34">
        <f t="shared" si="2"/>
        <v>1</v>
      </c>
      <c r="E30" s="34">
        <f t="shared" si="2"/>
        <v>1</v>
      </c>
      <c r="F30" s="34">
        <f t="shared" si="2"/>
        <v>1</v>
      </c>
      <c r="G30" s="34">
        <f t="shared" si="2"/>
        <v>1</v>
      </c>
      <c r="H30" s="34">
        <f t="shared" si="2"/>
        <v>1</v>
      </c>
    </row>
    <row r="31" spans="2:8" ht="13.5" thickTop="1" x14ac:dyDescent="0.2"/>
  </sheetData>
  <phoneticPr fontId="0" type="noConversion"/>
  <pageMargins left="0" right="0" top="1" bottom="1" header="0.5" footer="0.5"/>
  <pageSetup scale="8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workbookViewId="0">
      <selection activeCell="I8" sqref="I8"/>
    </sheetView>
  </sheetViews>
  <sheetFormatPr defaultRowHeight="12.75" x14ac:dyDescent="0.2"/>
  <cols>
    <col min="2" max="3" width="11.28515625" style="17" bestFit="1" customWidth="1"/>
    <col min="4" max="4" width="12.140625" style="17" bestFit="1" customWidth="1"/>
    <col min="5" max="13" width="12.28515625" style="17" bestFit="1" customWidth="1"/>
  </cols>
  <sheetData>
    <row r="2" spans="1:13" x14ac:dyDescent="0.2">
      <c r="B2" s="86" t="s">
        <v>17</v>
      </c>
      <c r="C2" s="86" t="s">
        <v>20</v>
      </c>
      <c r="D2" s="86" t="s">
        <v>21</v>
      </c>
      <c r="E2" s="86" t="s">
        <v>22</v>
      </c>
      <c r="F2" s="86" t="s">
        <v>23</v>
      </c>
      <c r="G2" s="86" t="s">
        <v>24</v>
      </c>
      <c r="H2" s="86" t="s">
        <v>25</v>
      </c>
      <c r="I2" s="86" t="s">
        <v>26</v>
      </c>
      <c r="J2" s="86" t="s">
        <v>27</v>
      </c>
      <c r="K2" s="86" t="s">
        <v>28</v>
      </c>
      <c r="L2" s="86" t="s">
        <v>18</v>
      </c>
      <c r="M2" s="86" t="s">
        <v>29</v>
      </c>
    </row>
    <row r="3" spans="1:13" x14ac:dyDescent="0.2">
      <c r="A3" t="s">
        <v>187</v>
      </c>
      <c r="B3" s="17">
        <f>All_Accts!C274</f>
        <v>27054300</v>
      </c>
      <c r="C3" s="17">
        <f>All_Accts!D274</f>
        <v>39448416</v>
      </c>
      <c r="D3" s="17">
        <f>All_Accts!E274</f>
        <v>28985625</v>
      </c>
      <c r="E3" s="17">
        <f>All_Accts!F274</f>
        <v>31951010</v>
      </c>
      <c r="F3" s="17">
        <f>All_Accts!G274</f>
        <v>28850450</v>
      </c>
      <c r="G3" s="17">
        <f>All_Accts!H274</f>
        <v>27339709</v>
      </c>
      <c r="H3" s="17">
        <f>All_Accts!I274</f>
        <v>23377546</v>
      </c>
      <c r="I3" s="17">
        <f>All_Accts!J274</f>
        <v>29039775</v>
      </c>
      <c r="J3" s="17">
        <f>All_Accts!K274</f>
        <v>42166704</v>
      </c>
      <c r="K3" s="17">
        <f>All_Accts!L274</f>
        <v>29360580</v>
      </c>
      <c r="L3" s="17">
        <f>All_Accts!M274</f>
        <v>32713296</v>
      </c>
      <c r="M3" s="17">
        <f>All_Accts!N274</f>
        <v>34168456</v>
      </c>
    </row>
    <row r="4" spans="1:13" x14ac:dyDescent="0.2">
      <c r="B4" s="17">
        <f>B3</f>
        <v>27054300</v>
      </c>
      <c r="C4" s="17">
        <f>B4+C3</f>
        <v>66502716</v>
      </c>
      <c r="D4" s="17">
        <f t="shared" ref="D4:M4" si="0">C4+D3</f>
        <v>95488341</v>
      </c>
      <c r="E4" s="17">
        <f t="shared" si="0"/>
        <v>127439351</v>
      </c>
      <c r="F4" s="17">
        <f t="shared" si="0"/>
        <v>156289801</v>
      </c>
      <c r="G4" s="17">
        <f t="shared" si="0"/>
        <v>183629510</v>
      </c>
      <c r="H4" s="17">
        <f t="shared" si="0"/>
        <v>207007056</v>
      </c>
      <c r="I4" s="17">
        <f t="shared" si="0"/>
        <v>236046831</v>
      </c>
      <c r="J4" s="17">
        <f t="shared" si="0"/>
        <v>278213535</v>
      </c>
      <c r="K4" s="17">
        <f t="shared" si="0"/>
        <v>307574115</v>
      </c>
      <c r="L4" s="17">
        <f t="shared" si="0"/>
        <v>340287411</v>
      </c>
      <c r="M4" s="17">
        <f t="shared" si="0"/>
        <v>374455867</v>
      </c>
    </row>
    <row r="7" spans="1:13" x14ac:dyDescent="0.2">
      <c r="A7" t="s">
        <v>188</v>
      </c>
      <c r="B7" s="17">
        <f>All_Accts!C324</f>
        <v>25587477</v>
      </c>
      <c r="C7" s="17">
        <f>All_Accts!D324</f>
        <v>28682403</v>
      </c>
      <c r="D7" s="17">
        <f>All_Accts!E324</f>
        <v>37806930</v>
      </c>
      <c r="E7" s="17">
        <f>All_Accts!F324</f>
        <v>30610391</v>
      </c>
      <c r="F7" s="17">
        <f>All_Accts!G324</f>
        <v>26043727</v>
      </c>
      <c r="G7" s="17">
        <f>All_Accts!H324</f>
        <v>27837072</v>
      </c>
      <c r="H7" s="17">
        <f>All_Accts!I324</f>
        <v>21075379</v>
      </c>
      <c r="I7" s="17">
        <f>All_Accts!J324</f>
        <v>27227488</v>
      </c>
      <c r="J7" s="17">
        <f>All_Accts!K324</f>
        <v>38887205</v>
      </c>
      <c r="K7" s="17">
        <f>All_Accts!L324</f>
        <v>27953709</v>
      </c>
      <c r="L7" s="17">
        <f>All_Accts!M324</f>
        <v>29281262</v>
      </c>
      <c r="M7" s="17">
        <f>All_Accts!N324</f>
        <v>33159101</v>
      </c>
    </row>
    <row r="8" spans="1:13" x14ac:dyDescent="0.2">
      <c r="B8" s="17">
        <f>B7</f>
        <v>25587477</v>
      </c>
      <c r="C8" s="17">
        <f t="shared" ref="C8:M8" si="1">B8+C7</f>
        <v>54269880</v>
      </c>
      <c r="D8" s="17">
        <f t="shared" si="1"/>
        <v>92076810</v>
      </c>
      <c r="E8" s="17">
        <f t="shared" si="1"/>
        <v>122687201</v>
      </c>
      <c r="F8" s="17">
        <f t="shared" si="1"/>
        <v>148730928</v>
      </c>
      <c r="G8" s="17">
        <f t="shared" si="1"/>
        <v>176568000</v>
      </c>
      <c r="H8" s="17">
        <f t="shared" si="1"/>
        <v>197643379</v>
      </c>
      <c r="I8" s="17">
        <f t="shared" si="1"/>
        <v>224870867</v>
      </c>
      <c r="J8" s="17">
        <f t="shared" si="1"/>
        <v>263758072</v>
      </c>
      <c r="K8" s="17">
        <f t="shared" si="1"/>
        <v>291711781</v>
      </c>
      <c r="L8" s="17">
        <f t="shared" si="1"/>
        <v>320993043</v>
      </c>
      <c r="M8" s="17">
        <f t="shared" si="1"/>
        <v>354152144</v>
      </c>
    </row>
    <row r="11" spans="1:13" x14ac:dyDescent="0.2">
      <c r="A11" t="s">
        <v>184</v>
      </c>
      <c r="B11" s="17" t="e">
        <f>All_Accts!#REF!</f>
        <v>#REF!</v>
      </c>
      <c r="C11" s="17" t="e">
        <f>All_Accts!#REF!</f>
        <v>#REF!</v>
      </c>
      <c r="D11" s="17" t="e">
        <f>All_Accts!#REF!</f>
        <v>#REF!</v>
      </c>
      <c r="E11" s="17" t="e">
        <f>All_Accts!#REF!</f>
        <v>#REF!</v>
      </c>
      <c r="F11" s="17" t="e">
        <f>All_Accts!#REF!</f>
        <v>#REF!</v>
      </c>
      <c r="G11" s="17" t="e">
        <f>All_Accts!#REF!</f>
        <v>#REF!</v>
      </c>
      <c r="H11" s="17" t="e">
        <f>All_Accts!#REF!</f>
        <v>#REF!</v>
      </c>
      <c r="I11" s="17" t="e">
        <f>All_Accts!#REF!</f>
        <v>#REF!</v>
      </c>
      <c r="J11" s="17" t="e">
        <f>All_Accts!#REF!</f>
        <v>#REF!</v>
      </c>
      <c r="K11" s="17" t="e">
        <f>All_Accts!#REF!</f>
        <v>#REF!</v>
      </c>
      <c r="L11" s="17" t="e">
        <f>All_Accts!#REF!</f>
        <v>#REF!</v>
      </c>
      <c r="M11" s="17" t="e">
        <f>All_Accts!#REF!</f>
        <v>#REF!</v>
      </c>
    </row>
    <row r="12" spans="1:13" x14ac:dyDescent="0.2">
      <c r="B12" s="17" t="e">
        <f>B11</f>
        <v>#REF!</v>
      </c>
      <c r="C12" s="17" t="e">
        <f t="shared" ref="C12:M12" si="2">B12+C11</f>
        <v>#REF!</v>
      </c>
      <c r="D12" s="17" t="e">
        <f t="shared" si="2"/>
        <v>#REF!</v>
      </c>
      <c r="E12" s="17" t="e">
        <f t="shared" si="2"/>
        <v>#REF!</v>
      </c>
      <c r="F12" s="17" t="e">
        <f t="shared" si="2"/>
        <v>#REF!</v>
      </c>
      <c r="G12" s="17" t="e">
        <f t="shared" si="2"/>
        <v>#REF!</v>
      </c>
      <c r="H12" s="17" t="e">
        <f t="shared" si="2"/>
        <v>#REF!</v>
      </c>
      <c r="I12" s="17" t="e">
        <f t="shared" si="2"/>
        <v>#REF!</v>
      </c>
      <c r="J12" s="17" t="e">
        <f t="shared" si="2"/>
        <v>#REF!</v>
      </c>
      <c r="K12" s="17" t="e">
        <f t="shared" si="2"/>
        <v>#REF!</v>
      </c>
      <c r="L12" s="17" t="e">
        <f t="shared" si="2"/>
        <v>#REF!</v>
      </c>
      <c r="M12" s="17" t="e">
        <f t="shared" si="2"/>
        <v>#REF!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78"/>
  <sheetViews>
    <sheetView workbookViewId="0">
      <selection activeCell="I46" sqref="I46"/>
    </sheetView>
  </sheetViews>
  <sheetFormatPr defaultRowHeight="12.75" x14ac:dyDescent="0.2"/>
  <cols>
    <col min="1" max="1" width="11.140625" customWidth="1"/>
    <col min="2" max="2" width="10" bestFit="1" customWidth="1"/>
    <col min="3" max="7" width="9.7109375" bestFit="1" customWidth="1"/>
    <col min="9" max="9" width="14.5703125" style="100" bestFit="1" customWidth="1"/>
    <col min="10" max="13" width="10.28515625" style="100" bestFit="1" customWidth="1"/>
    <col min="14" max="14" width="9.140625" style="100"/>
  </cols>
  <sheetData>
    <row r="3" spans="2:13" x14ac:dyDescent="0.2">
      <c r="C3" t="s">
        <v>201</v>
      </c>
    </row>
    <row r="4" spans="2:13" x14ac:dyDescent="0.2">
      <c r="B4" s="40"/>
      <c r="C4" s="40" t="s">
        <v>123</v>
      </c>
      <c r="D4" s="40" t="s">
        <v>34</v>
      </c>
      <c r="E4" s="40" t="s">
        <v>125</v>
      </c>
      <c r="F4" s="40"/>
      <c r="G4" s="40"/>
      <c r="H4" s="40"/>
      <c r="I4" s="40" t="s">
        <v>123</v>
      </c>
      <c r="J4" s="40" t="s">
        <v>34</v>
      </c>
      <c r="K4" s="40" t="s">
        <v>125</v>
      </c>
      <c r="L4" s="40"/>
      <c r="M4" s="40"/>
    </row>
    <row r="5" spans="2:13" x14ac:dyDescent="0.2">
      <c r="B5" s="40"/>
      <c r="C5" s="40" t="s">
        <v>122</v>
      </c>
      <c r="D5" s="40" t="s">
        <v>124</v>
      </c>
      <c r="E5" s="40" t="s">
        <v>126</v>
      </c>
      <c r="F5" s="40" t="s">
        <v>127</v>
      </c>
      <c r="G5" s="40" t="s">
        <v>128</v>
      </c>
      <c r="H5" s="40"/>
      <c r="I5" s="40" t="s">
        <v>122</v>
      </c>
      <c r="J5" s="40" t="s">
        <v>124</v>
      </c>
      <c r="K5" s="40" t="s">
        <v>126</v>
      </c>
      <c r="L5" s="40" t="s">
        <v>127</v>
      </c>
      <c r="M5" s="40" t="s">
        <v>128</v>
      </c>
    </row>
    <row r="6" spans="2:13" x14ac:dyDescent="0.2">
      <c r="B6" s="22" t="s">
        <v>17</v>
      </c>
      <c r="C6" s="100">
        <v>7.1663000000000004E-2</v>
      </c>
      <c r="D6" s="100">
        <v>7.4010999999999993E-2</v>
      </c>
      <c r="E6" s="100">
        <v>5.9081000000000002E-2</v>
      </c>
      <c r="F6" s="100">
        <v>9.5746999999999999E-2</v>
      </c>
      <c r="G6" s="100">
        <v>5.2627E-2</v>
      </c>
      <c r="H6" s="40"/>
      <c r="I6" s="100">
        <f>C6-C66</f>
        <v>-6.7459375986931164E-3</v>
      </c>
      <c r="J6" s="100">
        <f t="shared" ref="J6:M17" si="0">D6-D66</f>
        <v>1.0999999999997123E-5</v>
      </c>
      <c r="K6" s="100">
        <f t="shared" si="0"/>
        <v>-1.6810603611871373E-2</v>
      </c>
      <c r="L6" s="100">
        <f t="shared" si="0"/>
        <v>5.8100250868439958E-2</v>
      </c>
      <c r="M6" s="100">
        <f t="shared" si="0"/>
        <v>1.3327446495838911E-2</v>
      </c>
    </row>
    <row r="7" spans="2:13" x14ac:dyDescent="0.2">
      <c r="B7" s="22" t="s">
        <v>20</v>
      </c>
      <c r="C7" s="100">
        <v>0.102364</v>
      </c>
      <c r="D7" s="100">
        <v>0.117392</v>
      </c>
      <c r="E7" s="100">
        <v>0.101091</v>
      </c>
      <c r="F7" s="100">
        <v>7.3653999999999997E-2</v>
      </c>
      <c r="G7" s="100">
        <v>5.7480999999999997E-2</v>
      </c>
      <c r="H7" s="12"/>
      <c r="I7" s="100">
        <f t="shared" ref="I7:I17" si="1">C7-C67</f>
        <v>2.6763384858733613E-2</v>
      </c>
      <c r="J7" s="100">
        <f t="shared" si="0"/>
        <v>3.9401999999999993E-2</v>
      </c>
      <c r="K7" s="100">
        <f t="shared" si="0"/>
        <v>6.8110715839255209E-3</v>
      </c>
      <c r="L7" s="100">
        <f t="shared" si="0"/>
        <v>7.2133090458076365E-3</v>
      </c>
      <c r="M7" s="100">
        <f t="shared" si="0"/>
        <v>-7.7920601579307344E-3</v>
      </c>
    </row>
    <row r="8" spans="2:13" x14ac:dyDescent="0.2">
      <c r="B8" s="22" t="s">
        <v>21</v>
      </c>
      <c r="C8" s="100">
        <v>8.8718000000000005E-2</v>
      </c>
      <c r="D8" s="100">
        <v>7.7145000000000005E-2</v>
      </c>
      <c r="E8" s="100">
        <v>0.103079</v>
      </c>
      <c r="F8" s="100">
        <v>6.9454000000000002E-2</v>
      </c>
      <c r="G8" s="100">
        <v>5.1630000000000002E-2</v>
      </c>
      <c r="H8" s="40"/>
      <c r="I8" s="100">
        <f t="shared" si="1"/>
        <v>-2.384980464078798E-3</v>
      </c>
      <c r="J8" s="100">
        <f t="shared" si="0"/>
        <v>6.7500000000000893E-4</v>
      </c>
      <c r="K8" s="100">
        <f t="shared" si="0"/>
        <v>-1.3115340112752338E-3</v>
      </c>
      <c r="L8" s="100">
        <f t="shared" si="0"/>
        <v>-1.3198473375312936E-3</v>
      </c>
      <c r="M8" s="100">
        <f t="shared" si="0"/>
        <v>-1.4244131303479506E-2</v>
      </c>
    </row>
    <row r="9" spans="2:13" x14ac:dyDescent="0.2">
      <c r="B9" s="22" t="s">
        <v>22</v>
      </c>
      <c r="C9" s="100">
        <v>9.4534000000000007E-2</v>
      </c>
      <c r="D9" s="100">
        <v>8.3259E-2</v>
      </c>
      <c r="E9" s="100">
        <v>0.107613</v>
      </c>
      <c r="F9" s="100">
        <v>8.1379000000000007E-2</v>
      </c>
      <c r="G9" s="100">
        <v>9.1866000000000003E-2</v>
      </c>
      <c r="H9" s="40"/>
      <c r="I9" s="100">
        <f t="shared" si="1"/>
        <v>-1.0142414650373174E-2</v>
      </c>
      <c r="J9" s="100">
        <f t="shared" si="0"/>
        <v>-3.8371000000000002E-2</v>
      </c>
      <c r="K9" s="100">
        <f t="shared" si="0"/>
        <v>2.0705119921578641E-2</v>
      </c>
      <c r="L9" s="100">
        <f t="shared" si="0"/>
        <v>-1.6593004542749173E-2</v>
      </c>
      <c r="M9" s="100">
        <f t="shared" si="0"/>
        <v>1.176831120888075E-2</v>
      </c>
    </row>
    <row r="10" spans="2:13" x14ac:dyDescent="0.2">
      <c r="B10" s="22" t="s">
        <v>23</v>
      </c>
      <c r="C10" s="100">
        <v>8.3557999999999993E-2</v>
      </c>
      <c r="D10" s="100">
        <v>6.9958000000000006E-2</v>
      </c>
      <c r="E10" s="100">
        <v>8.4289000000000003E-2</v>
      </c>
      <c r="F10" s="100">
        <v>7.9200000000000007E-2</v>
      </c>
      <c r="G10" s="100">
        <v>7.3308999999999999E-2</v>
      </c>
      <c r="H10" s="12"/>
      <c r="I10" s="100">
        <f t="shared" si="1"/>
        <v>1.8113860225338604E-2</v>
      </c>
      <c r="J10" s="100">
        <f t="shared" si="0"/>
        <v>6.8800000000000805E-4</v>
      </c>
      <c r="K10" s="100">
        <f t="shared" si="0"/>
        <v>2.9052570133882911E-2</v>
      </c>
      <c r="L10" s="100">
        <f t="shared" si="0"/>
        <v>2.0457294403605629E-2</v>
      </c>
      <c r="M10" s="100">
        <f t="shared" si="0"/>
        <v>1.3610272690431323E-2</v>
      </c>
    </row>
    <row r="11" spans="2:13" x14ac:dyDescent="0.2">
      <c r="B11" s="22" t="s">
        <v>24</v>
      </c>
      <c r="C11" s="100">
        <v>6.4847000000000002E-2</v>
      </c>
      <c r="D11" s="100">
        <v>7.8308000000000003E-2</v>
      </c>
      <c r="E11" s="100">
        <v>7.9665E-2</v>
      </c>
      <c r="F11" s="100">
        <v>7.6525999999999997E-2</v>
      </c>
      <c r="G11" s="100">
        <v>7.0789000000000005E-2</v>
      </c>
      <c r="H11" s="40"/>
      <c r="I11" s="100">
        <f t="shared" si="1"/>
        <v>-5.3692207476520315E-3</v>
      </c>
      <c r="J11" s="100">
        <f t="shared" si="0"/>
        <v>8.4680000000000033E-3</v>
      </c>
      <c r="K11" s="100">
        <f t="shared" si="0"/>
        <v>-7.4326036870786677E-3</v>
      </c>
      <c r="L11" s="100">
        <f t="shared" si="0"/>
        <v>4.0881666697646507E-3</v>
      </c>
      <c r="M11" s="100">
        <f t="shared" si="0"/>
        <v>1.1102888266268846E-2</v>
      </c>
    </row>
    <row r="12" spans="2:13" x14ac:dyDescent="0.2">
      <c r="B12" s="22" t="s">
        <v>25</v>
      </c>
      <c r="C12" s="100">
        <v>6.9915000000000005E-2</v>
      </c>
      <c r="D12" s="100">
        <v>6.2825000000000006E-2</v>
      </c>
      <c r="E12" s="100">
        <v>5.6852E-2</v>
      </c>
      <c r="F12" s="100">
        <v>7.0782999999999999E-2</v>
      </c>
      <c r="G12" s="100">
        <v>6.5671999999999994E-2</v>
      </c>
      <c r="H12" s="40"/>
      <c r="I12" s="100">
        <f t="shared" si="1"/>
        <v>-4.382703491348644E-4</v>
      </c>
      <c r="J12" s="100">
        <f t="shared" si="0"/>
        <v>-4.2149999999999965E-3</v>
      </c>
      <c r="K12" s="100">
        <f t="shared" si="0"/>
        <v>-1.9443238812851482E-2</v>
      </c>
      <c r="L12" s="100">
        <f t="shared" si="0"/>
        <v>-1.1182657300526644E-3</v>
      </c>
      <c r="M12" s="100">
        <f t="shared" si="0"/>
        <v>-2.6185971051623791E-2</v>
      </c>
    </row>
    <row r="13" spans="2:13" x14ac:dyDescent="0.2">
      <c r="B13" s="22" t="s">
        <v>26</v>
      </c>
      <c r="C13" s="100">
        <v>6.5911999999999998E-2</v>
      </c>
      <c r="D13" s="100">
        <v>8.3820000000000006E-2</v>
      </c>
      <c r="E13" s="100">
        <v>8.3094000000000001E-2</v>
      </c>
      <c r="F13" s="100">
        <v>6.1074000000000003E-2</v>
      </c>
      <c r="G13" s="100">
        <v>0.10352699999999999</v>
      </c>
      <c r="H13" s="40"/>
      <c r="I13" s="100">
        <f t="shared" si="1"/>
        <v>1.0430680763574396E-2</v>
      </c>
      <c r="J13" s="100">
        <f t="shared" si="0"/>
        <v>5.3900000000000059E-3</v>
      </c>
      <c r="K13" s="100">
        <f t="shared" si="0"/>
        <v>7.9654121595750943E-3</v>
      </c>
      <c r="L13" s="100">
        <f t="shared" si="0"/>
        <v>-5.3555290724649346E-3</v>
      </c>
      <c r="M13" s="100">
        <f t="shared" si="0"/>
        <v>2.7923481821999135E-2</v>
      </c>
    </row>
    <row r="14" spans="2:13" x14ac:dyDescent="0.2">
      <c r="B14" s="22" t="s">
        <v>27</v>
      </c>
      <c r="C14" s="100">
        <v>7.5983999999999996E-2</v>
      </c>
      <c r="D14" s="100">
        <v>0.119854</v>
      </c>
      <c r="E14" s="100">
        <v>8.0339999999999995E-2</v>
      </c>
      <c r="F14" s="100">
        <v>8.6095000000000005E-2</v>
      </c>
      <c r="G14" s="100">
        <v>8.8204000000000005E-2</v>
      </c>
      <c r="H14" s="40"/>
      <c r="I14" s="100">
        <f t="shared" si="1"/>
        <v>9.5728368201321024E-3</v>
      </c>
      <c r="J14" s="100">
        <f t="shared" si="0"/>
        <v>3.7954000000000002E-2</v>
      </c>
      <c r="K14" s="100">
        <f t="shared" si="0"/>
        <v>1.8026296859208792E-2</v>
      </c>
      <c r="L14" s="100">
        <f t="shared" si="0"/>
        <v>8.9735044208341108E-3</v>
      </c>
      <c r="M14" s="100">
        <f t="shared" si="0"/>
        <v>2.3131432385573997E-3</v>
      </c>
    </row>
    <row r="15" spans="2:13" x14ac:dyDescent="0.2">
      <c r="B15" s="22" t="s">
        <v>28</v>
      </c>
      <c r="C15" s="100">
        <v>8.3096000000000003E-2</v>
      </c>
      <c r="D15" s="100">
        <v>7.6076000000000005E-2</v>
      </c>
      <c r="E15" s="100">
        <v>6.8658999999999998E-2</v>
      </c>
      <c r="F15" s="100">
        <v>7.6421000000000003E-2</v>
      </c>
      <c r="G15" s="100">
        <v>8.7567000000000006E-2</v>
      </c>
      <c r="H15" s="40"/>
      <c r="I15" s="100">
        <f t="shared" si="1"/>
        <v>1.106836822418869E-3</v>
      </c>
      <c r="J15" s="100">
        <f t="shared" si="0"/>
        <v>-4.2543999999999998E-2</v>
      </c>
      <c r="K15" s="100">
        <f t="shared" si="0"/>
        <v>-2.4817254900049157E-3</v>
      </c>
      <c r="L15" s="100">
        <f t="shared" si="0"/>
        <v>-2.1799345021509167E-2</v>
      </c>
      <c r="M15" s="100">
        <f t="shared" si="0"/>
        <v>-1.2279532316151073E-2</v>
      </c>
    </row>
    <row r="16" spans="2:13" x14ac:dyDescent="0.2">
      <c r="B16" s="22" t="s">
        <v>18</v>
      </c>
      <c r="C16" s="100">
        <v>8.5752999999999996E-2</v>
      </c>
      <c r="D16" s="100">
        <v>8.0988000000000004E-2</v>
      </c>
      <c r="E16" s="100">
        <v>7.4742000000000003E-2</v>
      </c>
      <c r="F16" s="100">
        <v>9.5781000000000005E-2</v>
      </c>
      <c r="G16" s="100">
        <v>0.10882</v>
      </c>
      <c r="I16" s="100">
        <f t="shared" si="1"/>
        <v>2.28722144008775E-3</v>
      </c>
      <c r="J16" s="100">
        <f t="shared" si="0"/>
        <v>-1.7119999999999913E-3</v>
      </c>
      <c r="K16" s="100">
        <f t="shared" si="0"/>
        <v>-3.7160026825070747E-3</v>
      </c>
      <c r="L16" s="100">
        <f t="shared" si="0"/>
        <v>2.8117354057439689E-2</v>
      </c>
      <c r="M16" s="100">
        <f t="shared" si="0"/>
        <v>1.7424700326462081E-2</v>
      </c>
    </row>
    <row r="17" spans="2:13" x14ac:dyDescent="0.2">
      <c r="B17" s="22" t="s">
        <v>29</v>
      </c>
      <c r="C17" s="100">
        <v>0.11365599999999999</v>
      </c>
      <c r="D17" s="100">
        <v>7.6364000000000001E-2</v>
      </c>
      <c r="E17" s="100">
        <v>0.101495</v>
      </c>
      <c r="F17" s="100">
        <v>0.13388600000000001</v>
      </c>
      <c r="G17" s="100">
        <v>0.148508</v>
      </c>
      <c r="I17" s="100">
        <f t="shared" si="1"/>
        <v>-4.3193997120353364E-2</v>
      </c>
      <c r="J17" s="100">
        <f t="shared" si="0"/>
        <v>-5.7460000000000011E-3</v>
      </c>
      <c r="K17" s="100">
        <f t="shared" si="0"/>
        <v>-3.1364762362582205E-2</v>
      </c>
      <c r="L17" s="100">
        <f t="shared" si="0"/>
        <v>-8.0763887761584385E-2</v>
      </c>
      <c r="M17" s="100">
        <f t="shared" si="0"/>
        <v>-3.6968549219253327E-2</v>
      </c>
    </row>
    <row r="18" spans="2:13" x14ac:dyDescent="0.2">
      <c r="C18">
        <v>1</v>
      </c>
      <c r="D18">
        <v>1.0000000000000002</v>
      </c>
      <c r="E18">
        <v>1</v>
      </c>
      <c r="F18">
        <v>1</v>
      </c>
      <c r="G18">
        <v>1</v>
      </c>
    </row>
    <row r="23" spans="2:13" x14ac:dyDescent="0.2">
      <c r="C23" t="s">
        <v>200</v>
      </c>
    </row>
    <row r="26" spans="2:13" x14ac:dyDescent="0.2">
      <c r="B26" s="22" t="s">
        <v>17</v>
      </c>
      <c r="C26">
        <v>8.0365000000000006E-2</v>
      </c>
      <c r="D26">
        <v>7.2606000000000004E-2</v>
      </c>
      <c r="E26">
        <v>6.7237000000000005E-2</v>
      </c>
      <c r="F26">
        <v>5.4420000000000003E-2</v>
      </c>
      <c r="G26">
        <v>3.8641000000000002E-2</v>
      </c>
      <c r="I26" s="100">
        <f>C26-C46</f>
        <v>8.7020000000000014E-3</v>
      </c>
      <c r="J26" s="100">
        <f t="shared" ref="J26:J37" si="2">D26-D46</f>
        <v>-2.2849999999999954E-3</v>
      </c>
      <c r="K26" s="100">
        <f t="shared" ref="K26:K37" si="3">E26-E46</f>
        <v>8.1560000000000035E-3</v>
      </c>
      <c r="L26" s="100">
        <f t="shared" ref="L26:L37" si="4">F26-F46</f>
        <v>-4.1326999999999996E-2</v>
      </c>
      <c r="M26" s="100">
        <f t="shared" ref="M26:M37" si="5">G26-G46</f>
        <v>-1.3985999999999998E-2</v>
      </c>
    </row>
    <row r="27" spans="2:13" x14ac:dyDescent="0.2">
      <c r="B27" s="22" t="s">
        <v>20</v>
      </c>
      <c r="C27">
        <v>9.4191999999999998E-2</v>
      </c>
      <c r="D27">
        <v>7.5939999999999994E-2</v>
      </c>
      <c r="E27">
        <v>0.103029</v>
      </c>
      <c r="F27">
        <v>8.9996999999999994E-2</v>
      </c>
      <c r="G27">
        <v>6.1834E-2</v>
      </c>
      <c r="I27" s="100">
        <f t="shared" ref="I27:I37" si="6">C27-C47</f>
        <v>-8.1719999999999987E-3</v>
      </c>
      <c r="J27" s="100">
        <f t="shared" si="2"/>
        <v>-2.8340000000000032E-3</v>
      </c>
      <c r="K27" s="100">
        <f t="shared" si="3"/>
        <v>1.9379999999999953E-3</v>
      </c>
      <c r="L27" s="100">
        <f t="shared" si="4"/>
        <v>1.6342999999999996E-2</v>
      </c>
      <c r="M27" s="100">
        <f t="shared" si="5"/>
        <v>4.3530000000000027E-3</v>
      </c>
    </row>
    <row r="28" spans="2:13" x14ac:dyDescent="0.2">
      <c r="B28" s="22" t="s">
        <v>21</v>
      </c>
      <c r="C28">
        <v>9.0649999999999994E-2</v>
      </c>
      <c r="D28">
        <v>0.11328100000000008</v>
      </c>
      <c r="E28">
        <v>0.10233200000000001</v>
      </c>
      <c r="F28">
        <v>7.7906000000000003E-2</v>
      </c>
      <c r="G28">
        <v>6.0304000000000003E-2</v>
      </c>
      <c r="I28" s="100">
        <f t="shared" si="6"/>
        <v>1.9319999999999893E-3</v>
      </c>
      <c r="J28" s="100">
        <f t="shared" si="2"/>
        <v>3.6990000000000078E-2</v>
      </c>
      <c r="K28" s="100">
        <f t="shared" si="3"/>
        <v>-7.4699999999999767E-4</v>
      </c>
      <c r="L28" s="100">
        <f t="shared" si="4"/>
        <v>8.4520000000000012E-3</v>
      </c>
      <c r="M28" s="100">
        <f t="shared" si="5"/>
        <v>8.6740000000000012E-3</v>
      </c>
    </row>
    <row r="29" spans="2:13" x14ac:dyDescent="0.2">
      <c r="B29" s="22" t="s">
        <v>22</v>
      </c>
      <c r="C29">
        <v>0.103295</v>
      </c>
      <c r="D29">
        <v>8.1448999999999994E-2</v>
      </c>
      <c r="E29">
        <v>9.9129999999999996E-2</v>
      </c>
      <c r="F29">
        <v>6.5717999999999999E-2</v>
      </c>
      <c r="G29">
        <v>7.6239000000000001E-2</v>
      </c>
      <c r="I29" s="100">
        <f t="shared" si="6"/>
        <v>8.760999999999991E-3</v>
      </c>
      <c r="J29" s="100">
        <f t="shared" si="2"/>
        <v>-4.1426000000000004E-2</v>
      </c>
      <c r="K29" s="100">
        <f t="shared" si="3"/>
        <v>-8.4830000000000044E-3</v>
      </c>
      <c r="L29" s="100">
        <f t="shared" si="4"/>
        <v>-1.5661000000000008E-2</v>
      </c>
      <c r="M29" s="100">
        <f t="shared" si="5"/>
        <v>-1.5627000000000002E-2</v>
      </c>
    </row>
    <row r="30" spans="2:13" x14ac:dyDescent="0.2">
      <c r="B30" s="22" t="s">
        <v>23</v>
      </c>
      <c r="C30">
        <v>7.4596999999999997E-2</v>
      </c>
      <c r="D30">
        <v>6.8186999999999998E-2</v>
      </c>
      <c r="E30">
        <v>7.1856000000000003E-2</v>
      </c>
      <c r="F30">
        <v>7.7568999999999999E-2</v>
      </c>
      <c r="G30">
        <v>6.4645999999999995E-2</v>
      </c>
      <c r="I30" s="100">
        <f t="shared" si="6"/>
        <v>-8.9609999999999967E-3</v>
      </c>
      <c r="J30" s="100">
        <f t="shared" si="2"/>
        <v>-2.144000000000007E-3</v>
      </c>
      <c r="K30" s="100">
        <f t="shared" si="3"/>
        <v>-1.2433E-2</v>
      </c>
      <c r="L30" s="100">
        <f t="shared" si="4"/>
        <v>-1.6310000000000074E-3</v>
      </c>
      <c r="M30" s="100">
        <f t="shared" si="5"/>
        <v>-8.663000000000004E-3</v>
      </c>
    </row>
    <row r="31" spans="2:13" x14ac:dyDescent="0.2">
      <c r="B31" s="22" t="s">
        <v>24</v>
      </c>
      <c r="C31">
        <v>7.0453000000000002E-2</v>
      </c>
      <c r="D31">
        <v>7.3195999999999997E-2</v>
      </c>
      <c r="E31">
        <v>7.4732000000000007E-2</v>
      </c>
      <c r="F31">
        <v>7.5135999999999994E-2</v>
      </c>
      <c r="G31">
        <v>7.7149999999999996E-2</v>
      </c>
      <c r="I31" s="100">
        <f t="shared" si="6"/>
        <v>5.6059999999999999E-3</v>
      </c>
      <c r="J31" s="100">
        <f t="shared" si="2"/>
        <v>9.6199999999999064E-4</v>
      </c>
      <c r="K31" s="100">
        <f t="shared" si="3"/>
        <v>-4.9329999999999929E-3</v>
      </c>
      <c r="L31" s="100">
        <f t="shared" si="4"/>
        <v>-1.3900000000000023E-3</v>
      </c>
      <c r="M31" s="100">
        <f t="shared" si="5"/>
        <v>6.3609999999999917E-3</v>
      </c>
    </row>
    <row r="32" spans="2:13" x14ac:dyDescent="0.2">
      <c r="B32" s="22" t="s">
        <v>25</v>
      </c>
      <c r="C32">
        <v>7.0468000000000003E-2</v>
      </c>
      <c r="D32">
        <v>6.4670000000000005E-2</v>
      </c>
      <c r="E32">
        <v>5.6151E-2</v>
      </c>
      <c r="F32">
        <v>6.6170000000000007E-2</v>
      </c>
      <c r="G32">
        <v>6.7302000000000001E-2</v>
      </c>
      <c r="I32" s="100">
        <f t="shared" si="6"/>
        <v>5.5299999999999794E-4</v>
      </c>
      <c r="J32" s="100">
        <f t="shared" si="2"/>
        <v>-2.460999999999991E-3</v>
      </c>
      <c r="K32" s="100">
        <f t="shared" si="3"/>
        <v>-7.0100000000000023E-4</v>
      </c>
      <c r="L32" s="100">
        <f t="shared" si="4"/>
        <v>-4.6129999999999921E-3</v>
      </c>
      <c r="M32" s="100">
        <f t="shared" si="5"/>
        <v>1.6300000000000064E-3</v>
      </c>
    </row>
    <row r="33" spans="2:13" x14ac:dyDescent="0.2">
      <c r="B33" s="22" t="s">
        <v>26</v>
      </c>
      <c r="C33">
        <v>6.2726000000000004E-2</v>
      </c>
      <c r="D33">
        <v>8.3339999999999997E-2</v>
      </c>
      <c r="E33">
        <v>9.8530000000000006E-2</v>
      </c>
      <c r="F33">
        <v>6.9358000000000003E-2</v>
      </c>
      <c r="G33">
        <v>8.8374999999999995E-2</v>
      </c>
      <c r="I33" s="100">
        <f t="shared" si="6"/>
        <v>-3.1859999999999944E-3</v>
      </c>
      <c r="J33" s="100">
        <f t="shared" si="2"/>
        <v>7.3399999999999854E-4</v>
      </c>
      <c r="K33" s="100">
        <f t="shared" si="3"/>
        <v>1.5436000000000005E-2</v>
      </c>
      <c r="L33" s="100">
        <f t="shared" si="4"/>
        <v>8.2839999999999997E-3</v>
      </c>
      <c r="M33" s="100">
        <f t="shared" si="5"/>
        <v>-1.5151999999999999E-2</v>
      </c>
    </row>
    <row r="34" spans="2:13" x14ac:dyDescent="0.2">
      <c r="B34" s="22" t="s">
        <v>27</v>
      </c>
      <c r="C34">
        <v>7.0587999999999998E-2</v>
      </c>
      <c r="D34">
        <v>0.13723399999999999</v>
      </c>
      <c r="E34">
        <v>7.1689000000000003E-2</v>
      </c>
      <c r="F34">
        <v>8.6128999999999997E-2</v>
      </c>
      <c r="G34">
        <v>8.7641999999999998E-2</v>
      </c>
      <c r="I34" s="100">
        <f t="shared" si="6"/>
        <v>-5.395999999999998E-3</v>
      </c>
      <c r="J34" s="100">
        <f t="shared" si="2"/>
        <v>1.7334999999999989E-2</v>
      </c>
      <c r="K34" s="100">
        <f t="shared" si="3"/>
        <v>-8.650999999999992E-3</v>
      </c>
      <c r="L34" s="100">
        <f t="shared" si="4"/>
        <v>3.399999999999237E-5</v>
      </c>
      <c r="M34" s="100">
        <f t="shared" si="5"/>
        <v>-5.6200000000000694E-4</v>
      </c>
    </row>
    <row r="35" spans="2:13" x14ac:dyDescent="0.2">
      <c r="B35" s="22" t="s">
        <v>28</v>
      </c>
      <c r="C35">
        <v>7.7678999999999998E-2</v>
      </c>
      <c r="D35">
        <v>7.6446E-2</v>
      </c>
      <c r="E35">
        <v>6.5558000000000005E-2</v>
      </c>
      <c r="F35">
        <v>7.7520000000000006E-2</v>
      </c>
      <c r="G35">
        <v>9.0964000000000003E-2</v>
      </c>
      <c r="I35" s="100">
        <f t="shared" si="6"/>
        <v>-5.4170000000000051E-3</v>
      </c>
      <c r="J35" s="100">
        <f t="shared" si="2"/>
        <v>-5.7899999999999618E-4</v>
      </c>
      <c r="K35" s="100">
        <f t="shared" si="3"/>
        <v>-3.1009999999999927E-3</v>
      </c>
      <c r="L35" s="100">
        <f t="shared" si="4"/>
        <v>1.0990000000000028E-3</v>
      </c>
      <c r="M35" s="100">
        <f t="shared" si="5"/>
        <v>3.3969999999999972E-3</v>
      </c>
    </row>
    <row r="36" spans="2:13" x14ac:dyDescent="0.2">
      <c r="B36" s="22" t="s">
        <v>18</v>
      </c>
      <c r="C36">
        <v>8.4652000000000005E-2</v>
      </c>
      <c r="D36">
        <v>7.9017000000000004E-2</v>
      </c>
      <c r="E36">
        <v>8.1078999999999998E-2</v>
      </c>
      <c r="F36">
        <v>9.8277000000000003E-2</v>
      </c>
      <c r="G36">
        <v>0.11398800000000001</v>
      </c>
      <c r="I36" s="100">
        <f t="shared" si="6"/>
        <v>-1.1009999999999909E-3</v>
      </c>
      <c r="J36" s="100">
        <f t="shared" si="2"/>
        <v>-6.2399999999999956E-4</v>
      </c>
      <c r="K36" s="100">
        <f t="shared" si="3"/>
        <v>6.3369999999999954E-3</v>
      </c>
      <c r="L36" s="100">
        <f t="shared" si="4"/>
        <v>2.4959999999999982E-3</v>
      </c>
      <c r="M36" s="100">
        <f t="shared" si="5"/>
        <v>5.1680000000000059E-3</v>
      </c>
    </row>
    <row r="37" spans="2:13" x14ac:dyDescent="0.2">
      <c r="B37" s="22" t="s">
        <v>29</v>
      </c>
      <c r="C37">
        <v>0.120335</v>
      </c>
      <c r="D37">
        <v>7.4634000000000006E-2</v>
      </c>
      <c r="E37">
        <v>0.108677</v>
      </c>
      <c r="F37">
        <v>0.1618</v>
      </c>
      <c r="G37">
        <v>0.17291500000000001</v>
      </c>
      <c r="I37" s="100">
        <f t="shared" si="6"/>
        <v>6.6790000000000044E-3</v>
      </c>
      <c r="J37" s="100">
        <f t="shared" si="2"/>
        <v>-3.6679999999999907E-3</v>
      </c>
      <c r="K37" s="100">
        <f t="shared" si="3"/>
        <v>7.1819999999999939E-3</v>
      </c>
      <c r="L37" s="100">
        <f t="shared" si="4"/>
        <v>2.7913999999999994E-2</v>
      </c>
      <c r="M37" s="100">
        <f t="shared" si="5"/>
        <v>2.4407000000000012E-2</v>
      </c>
    </row>
    <row r="38" spans="2:13" x14ac:dyDescent="0.2">
      <c r="C38">
        <v>0.99999999999999989</v>
      </c>
      <c r="D38">
        <v>1</v>
      </c>
      <c r="E38">
        <v>1</v>
      </c>
      <c r="F38">
        <v>1</v>
      </c>
      <c r="G38">
        <v>1</v>
      </c>
    </row>
    <row r="43" spans="2:13" x14ac:dyDescent="0.2">
      <c r="C43" t="s">
        <v>187</v>
      </c>
    </row>
    <row r="46" spans="2:13" x14ac:dyDescent="0.2">
      <c r="B46" s="22" t="s">
        <v>17</v>
      </c>
      <c r="C46">
        <v>7.1663000000000004E-2</v>
      </c>
      <c r="D46">
        <v>7.4890999999999999E-2</v>
      </c>
      <c r="E46">
        <v>5.9081000000000002E-2</v>
      </c>
      <c r="F46">
        <v>9.5746999999999999E-2</v>
      </c>
      <c r="G46">
        <v>5.2627E-2</v>
      </c>
      <c r="I46" s="100">
        <f>C46-C66</f>
        <v>-6.7459375986931164E-3</v>
      </c>
      <c r="J46" s="100">
        <f t="shared" ref="J46:J57" si="7">D46-D66</f>
        <v>8.910000000000029E-4</v>
      </c>
      <c r="K46" s="100">
        <f t="shared" ref="K46:K57" si="8">E46-E66</f>
        <v>-1.6810603611871373E-2</v>
      </c>
      <c r="L46" s="100">
        <f t="shared" ref="L46:L57" si="9">F46-F66</f>
        <v>5.8100250868439958E-2</v>
      </c>
      <c r="M46" s="100">
        <f t="shared" ref="M46:M57" si="10">G46-G66</f>
        <v>1.3327446495838911E-2</v>
      </c>
    </row>
    <row r="47" spans="2:13" x14ac:dyDescent="0.2">
      <c r="B47" s="22" t="s">
        <v>20</v>
      </c>
      <c r="C47">
        <v>0.102364</v>
      </c>
      <c r="D47">
        <v>7.8773999999999997E-2</v>
      </c>
      <c r="E47">
        <v>0.101091</v>
      </c>
      <c r="F47">
        <v>7.3653999999999997E-2</v>
      </c>
      <c r="G47">
        <v>5.7480999999999997E-2</v>
      </c>
      <c r="I47" s="100">
        <f t="shared" ref="I47:I57" si="11">C47-C67</f>
        <v>2.6763384858733613E-2</v>
      </c>
      <c r="J47" s="100">
        <f t="shared" si="7"/>
        <v>7.8399999999999304E-4</v>
      </c>
      <c r="K47" s="100">
        <f t="shared" si="8"/>
        <v>6.8110715839255209E-3</v>
      </c>
      <c r="L47" s="100">
        <f t="shared" si="9"/>
        <v>7.2133090458076365E-3</v>
      </c>
      <c r="M47" s="100">
        <f t="shared" si="10"/>
        <v>-7.7920601579307344E-3</v>
      </c>
    </row>
    <row r="48" spans="2:13" x14ac:dyDescent="0.2">
      <c r="B48" s="22" t="s">
        <v>21</v>
      </c>
      <c r="C48">
        <v>8.8718000000000005E-2</v>
      </c>
      <c r="D48">
        <v>7.6290999999999998E-2</v>
      </c>
      <c r="E48">
        <v>0.103079</v>
      </c>
      <c r="F48">
        <v>6.9454000000000002E-2</v>
      </c>
      <c r="G48">
        <v>5.1630000000000002E-2</v>
      </c>
      <c r="I48" s="100">
        <f t="shared" si="11"/>
        <v>-2.384980464078798E-3</v>
      </c>
      <c r="J48" s="100">
        <f t="shared" si="7"/>
        <v>-1.789999999999986E-4</v>
      </c>
      <c r="K48" s="100">
        <f t="shared" si="8"/>
        <v>-1.3115340112752338E-3</v>
      </c>
      <c r="L48" s="100">
        <f t="shared" si="9"/>
        <v>-1.3198473375312936E-3</v>
      </c>
      <c r="M48" s="100">
        <f t="shared" si="10"/>
        <v>-1.4244131303479506E-2</v>
      </c>
    </row>
    <row r="49" spans="2:13" x14ac:dyDescent="0.2">
      <c r="B49" s="22" t="s">
        <v>22</v>
      </c>
      <c r="C49">
        <v>9.4534000000000007E-2</v>
      </c>
      <c r="D49">
        <v>0.122875</v>
      </c>
      <c r="E49">
        <v>0.107613</v>
      </c>
      <c r="F49">
        <v>8.1379000000000007E-2</v>
      </c>
      <c r="G49">
        <v>9.1866000000000003E-2</v>
      </c>
      <c r="I49" s="100">
        <f t="shared" si="11"/>
        <v>-1.0142414650373174E-2</v>
      </c>
      <c r="J49" s="100">
        <f t="shared" si="7"/>
        <v>1.2449999999999961E-3</v>
      </c>
      <c r="K49" s="100">
        <f t="shared" si="8"/>
        <v>2.0705119921578641E-2</v>
      </c>
      <c r="L49" s="100">
        <f t="shared" si="9"/>
        <v>-1.6593004542749173E-2</v>
      </c>
      <c r="M49" s="100">
        <f t="shared" si="10"/>
        <v>1.176831120888075E-2</v>
      </c>
    </row>
    <row r="50" spans="2:13" x14ac:dyDescent="0.2">
      <c r="B50" s="22" t="s">
        <v>23</v>
      </c>
      <c r="C50">
        <v>8.3557999999999993E-2</v>
      </c>
      <c r="D50">
        <v>7.0331000000000005E-2</v>
      </c>
      <c r="E50">
        <v>8.4289000000000003E-2</v>
      </c>
      <c r="F50">
        <v>7.9200000000000007E-2</v>
      </c>
      <c r="G50">
        <v>7.3308999999999999E-2</v>
      </c>
      <c r="I50" s="100">
        <f t="shared" si="11"/>
        <v>1.8113860225338604E-2</v>
      </c>
      <c r="J50" s="100">
        <f t="shared" si="7"/>
        <v>1.0610000000000064E-3</v>
      </c>
      <c r="K50" s="100">
        <f t="shared" si="8"/>
        <v>2.9052570133882911E-2</v>
      </c>
      <c r="L50" s="100">
        <f t="shared" si="9"/>
        <v>2.0457294403605629E-2</v>
      </c>
      <c r="M50" s="100">
        <f t="shared" si="10"/>
        <v>1.3610272690431323E-2</v>
      </c>
    </row>
    <row r="51" spans="2:13" x14ac:dyDescent="0.2">
      <c r="B51" s="22" t="s">
        <v>24</v>
      </c>
      <c r="C51">
        <v>6.4847000000000002E-2</v>
      </c>
      <c r="D51">
        <v>7.2234000000000007E-2</v>
      </c>
      <c r="E51">
        <v>7.9665E-2</v>
      </c>
      <c r="F51">
        <v>7.6525999999999997E-2</v>
      </c>
      <c r="G51">
        <v>7.0789000000000005E-2</v>
      </c>
      <c r="I51" s="100">
        <f t="shared" si="11"/>
        <v>-5.3692207476520315E-3</v>
      </c>
      <c r="J51" s="100">
        <f t="shared" si="7"/>
        <v>2.3940000000000072E-3</v>
      </c>
      <c r="K51" s="100">
        <f t="shared" si="8"/>
        <v>-7.4326036870786677E-3</v>
      </c>
      <c r="L51" s="100">
        <f t="shared" si="9"/>
        <v>4.0881666697646507E-3</v>
      </c>
      <c r="M51" s="100">
        <f t="shared" si="10"/>
        <v>1.1102888266268846E-2</v>
      </c>
    </row>
    <row r="52" spans="2:13" x14ac:dyDescent="0.2">
      <c r="B52" s="22" t="s">
        <v>25</v>
      </c>
      <c r="C52">
        <v>6.9915000000000005E-2</v>
      </c>
      <c r="D52">
        <v>6.7130999999999996E-2</v>
      </c>
      <c r="E52">
        <v>5.6852E-2</v>
      </c>
      <c r="F52">
        <v>7.0782999999999999E-2</v>
      </c>
      <c r="G52">
        <v>6.5671999999999994E-2</v>
      </c>
      <c r="I52" s="100">
        <f t="shared" si="11"/>
        <v>-4.382703491348644E-4</v>
      </c>
      <c r="J52" s="100">
        <f t="shared" si="7"/>
        <v>9.0999999999993864E-5</v>
      </c>
      <c r="K52" s="100">
        <f t="shared" si="8"/>
        <v>-1.9443238812851482E-2</v>
      </c>
      <c r="L52" s="100">
        <f t="shared" si="9"/>
        <v>-1.1182657300526644E-3</v>
      </c>
      <c r="M52" s="100">
        <f t="shared" si="10"/>
        <v>-2.6185971051623791E-2</v>
      </c>
    </row>
    <row r="53" spans="2:13" x14ac:dyDescent="0.2">
      <c r="B53" s="22" t="s">
        <v>26</v>
      </c>
      <c r="C53">
        <v>6.5911999999999998E-2</v>
      </c>
      <c r="D53">
        <v>8.2605999999999999E-2</v>
      </c>
      <c r="E53">
        <v>8.3094000000000001E-2</v>
      </c>
      <c r="F53">
        <v>6.1074000000000003E-2</v>
      </c>
      <c r="G53">
        <v>0.10352699999999999</v>
      </c>
      <c r="I53" s="100">
        <f t="shared" si="11"/>
        <v>1.0430680763574396E-2</v>
      </c>
      <c r="J53" s="100">
        <f t="shared" si="7"/>
        <v>4.1759999999999992E-3</v>
      </c>
      <c r="K53" s="100">
        <f t="shared" si="8"/>
        <v>7.9654121595750943E-3</v>
      </c>
      <c r="L53" s="100">
        <f t="shared" si="9"/>
        <v>-5.3555290724649346E-3</v>
      </c>
      <c r="M53" s="100">
        <f t="shared" si="10"/>
        <v>2.7923481821999135E-2</v>
      </c>
    </row>
    <row r="54" spans="2:13" x14ac:dyDescent="0.2">
      <c r="B54" s="22" t="s">
        <v>27</v>
      </c>
      <c r="C54">
        <v>7.5983999999999996E-2</v>
      </c>
      <c r="D54">
        <v>0.11989900000000001</v>
      </c>
      <c r="E54">
        <v>8.0339999999999995E-2</v>
      </c>
      <c r="F54">
        <v>8.6095000000000005E-2</v>
      </c>
      <c r="G54">
        <v>8.8204000000000005E-2</v>
      </c>
      <c r="I54" s="100">
        <f t="shared" si="11"/>
        <v>9.5728368201321024E-3</v>
      </c>
      <c r="J54" s="100">
        <f t="shared" si="7"/>
        <v>3.7999000000000005E-2</v>
      </c>
      <c r="K54" s="100">
        <f t="shared" si="8"/>
        <v>1.8026296859208792E-2</v>
      </c>
      <c r="L54" s="100">
        <f t="shared" si="9"/>
        <v>8.9735044208341108E-3</v>
      </c>
      <c r="M54" s="100">
        <f t="shared" si="10"/>
        <v>2.3131432385573997E-3</v>
      </c>
    </row>
    <row r="55" spans="2:13" x14ac:dyDescent="0.2">
      <c r="B55" s="22" t="s">
        <v>28</v>
      </c>
      <c r="C55">
        <v>8.3096000000000003E-2</v>
      </c>
      <c r="D55">
        <v>7.7024999999999996E-2</v>
      </c>
      <c r="E55">
        <v>6.8658999999999998E-2</v>
      </c>
      <c r="F55">
        <v>7.6421000000000003E-2</v>
      </c>
      <c r="G55">
        <v>8.7567000000000006E-2</v>
      </c>
      <c r="I55" s="100">
        <f t="shared" si="11"/>
        <v>1.106836822418869E-3</v>
      </c>
      <c r="J55" s="100">
        <f t="shared" si="7"/>
        <v>-4.1595000000000007E-2</v>
      </c>
      <c r="K55" s="100">
        <f t="shared" si="8"/>
        <v>-2.4817254900049157E-3</v>
      </c>
      <c r="L55" s="100">
        <f t="shared" si="9"/>
        <v>-2.1799345021509167E-2</v>
      </c>
      <c r="M55" s="100">
        <f t="shared" si="10"/>
        <v>-1.2279532316151073E-2</v>
      </c>
    </row>
    <row r="56" spans="2:13" x14ac:dyDescent="0.2">
      <c r="B56" s="22" t="s">
        <v>18</v>
      </c>
      <c r="C56">
        <v>8.5752999999999996E-2</v>
      </c>
      <c r="D56">
        <v>7.9641000000000003E-2</v>
      </c>
      <c r="E56">
        <v>7.4742000000000003E-2</v>
      </c>
      <c r="F56">
        <v>9.5781000000000005E-2</v>
      </c>
      <c r="G56">
        <v>0.10882</v>
      </c>
      <c r="I56" s="100">
        <f t="shared" si="11"/>
        <v>2.28722144008775E-3</v>
      </c>
      <c r="J56" s="100">
        <f t="shared" si="7"/>
        <v>-3.0589999999999923E-3</v>
      </c>
      <c r="K56" s="100">
        <f t="shared" si="8"/>
        <v>-3.7160026825070747E-3</v>
      </c>
      <c r="L56" s="100">
        <f t="shared" si="9"/>
        <v>2.8117354057439689E-2</v>
      </c>
      <c r="M56" s="100">
        <f t="shared" si="10"/>
        <v>1.7424700326462081E-2</v>
      </c>
    </row>
    <row r="57" spans="2:13" x14ac:dyDescent="0.2">
      <c r="B57" s="22" t="s">
        <v>29</v>
      </c>
      <c r="C57">
        <v>0.11365599999999999</v>
      </c>
      <c r="D57">
        <v>7.8301999999999997E-2</v>
      </c>
      <c r="E57">
        <v>0.101495</v>
      </c>
      <c r="F57">
        <v>0.13388600000000001</v>
      </c>
      <c r="G57">
        <v>0.148508</v>
      </c>
      <c r="I57" s="100">
        <f t="shared" si="11"/>
        <v>-4.3193997120353364E-2</v>
      </c>
      <c r="J57" s="100">
        <f t="shared" si="7"/>
        <v>-3.8080000000000058E-3</v>
      </c>
      <c r="K57" s="100">
        <f t="shared" si="8"/>
        <v>-3.1364762362582205E-2</v>
      </c>
      <c r="L57" s="100">
        <f t="shared" si="9"/>
        <v>-8.0763887761584385E-2</v>
      </c>
      <c r="M57" s="100">
        <f t="shared" si="10"/>
        <v>-3.6968549219253327E-2</v>
      </c>
    </row>
    <row r="58" spans="2:13" x14ac:dyDescent="0.2">
      <c r="C58">
        <v>1</v>
      </c>
      <c r="D58">
        <v>0.99999999999999989</v>
      </c>
      <c r="E58">
        <v>1</v>
      </c>
      <c r="F58">
        <v>1</v>
      </c>
      <c r="G58">
        <v>1</v>
      </c>
    </row>
    <row r="63" spans="2:13" x14ac:dyDescent="0.2">
      <c r="C63" t="s">
        <v>188</v>
      </c>
    </row>
    <row r="66" spans="2:7" x14ac:dyDescent="0.2">
      <c r="B66" s="22" t="s">
        <v>17</v>
      </c>
      <c r="C66">
        <v>7.8408937598693121E-2</v>
      </c>
      <c r="D66">
        <v>7.3999999999999996E-2</v>
      </c>
      <c r="E66">
        <v>7.5891603611871375E-2</v>
      </c>
      <c r="F66">
        <v>3.7646749131560041E-2</v>
      </c>
      <c r="G66">
        <v>3.9299553504161089E-2</v>
      </c>
    </row>
    <row r="67" spans="2:7" x14ac:dyDescent="0.2">
      <c r="B67" s="22" t="s">
        <v>20</v>
      </c>
      <c r="C67">
        <v>7.5600615141266383E-2</v>
      </c>
      <c r="D67">
        <v>7.7990000000000004E-2</v>
      </c>
      <c r="E67">
        <v>9.4279928416074479E-2</v>
      </c>
      <c r="F67">
        <v>6.6440690954192361E-2</v>
      </c>
      <c r="G67">
        <v>6.5273060157930732E-2</v>
      </c>
    </row>
    <row r="68" spans="2:7" x14ac:dyDescent="0.2">
      <c r="B68" s="22" t="s">
        <v>21</v>
      </c>
      <c r="C68">
        <v>9.1102980464078803E-2</v>
      </c>
      <c r="D68">
        <v>7.6469999999999996E-2</v>
      </c>
      <c r="E68">
        <v>0.10439053401127524</v>
      </c>
      <c r="F68">
        <v>7.0773847337531295E-2</v>
      </c>
      <c r="G68">
        <v>6.5874131303479508E-2</v>
      </c>
    </row>
    <row r="69" spans="2:7" x14ac:dyDescent="0.2">
      <c r="B69" s="22" t="s">
        <v>22</v>
      </c>
      <c r="C69">
        <v>0.10467641465037318</v>
      </c>
      <c r="D69">
        <v>0.12163</v>
      </c>
      <c r="E69">
        <v>8.690788007842136E-2</v>
      </c>
      <c r="F69">
        <v>9.797200454274918E-2</v>
      </c>
      <c r="G69">
        <v>8.0097688791119254E-2</v>
      </c>
    </row>
    <row r="70" spans="2:7" x14ac:dyDescent="0.2">
      <c r="B70" s="22" t="s">
        <v>23</v>
      </c>
      <c r="C70">
        <v>6.5444139774661389E-2</v>
      </c>
      <c r="D70">
        <v>6.9269999999999998E-2</v>
      </c>
      <c r="E70">
        <v>5.5236429866117091E-2</v>
      </c>
      <c r="F70">
        <v>5.8742705596394378E-2</v>
      </c>
      <c r="G70">
        <v>5.9698727309568676E-2</v>
      </c>
    </row>
    <row r="71" spans="2:7" x14ac:dyDescent="0.2">
      <c r="B71" s="22" t="s">
        <v>24</v>
      </c>
      <c r="C71">
        <v>7.0216220747652033E-2</v>
      </c>
      <c r="D71">
        <v>6.9839999999999999E-2</v>
      </c>
      <c r="E71">
        <v>8.7097603687078667E-2</v>
      </c>
      <c r="F71">
        <v>7.2437833330235346E-2</v>
      </c>
      <c r="G71">
        <v>5.9686111733731159E-2</v>
      </c>
    </row>
    <row r="72" spans="2:7" x14ac:dyDescent="0.2">
      <c r="B72" s="22" t="s">
        <v>25</v>
      </c>
      <c r="C72">
        <v>7.0353270349134869E-2</v>
      </c>
      <c r="D72">
        <v>6.7040000000000002E-2</v>
      </c>
      <c r="E72">
        <v>7.6295238812851482E-2</v>
      </c>
      <c r="F72">
        <v>7.1901265730052663E-2</v>
      </c>
      <c r="G72">
        <v>9.1857971051623785E-2</v>
      </c>
    </row>
    <row r="73" spans="2:7" x14ac:dyDescent="0.2">
      <c r="B73" s="22" t="s">
        <v>26</v>
      </c>
      <c r="C73">
        <v>5.5481319236425602E-2</v>
      </c>
      <c r="D73">
        <v>7.843E-2</v>
      </c>
      <c r="E73">
        <v>7.5128587840424907E-2</v>
      </c>
      <c r="F73">
        <v>6.6429529072464938E-2</v>
      </c>
      <c r="G73">
        <v>7.5603518178000859E-2</v>
      </c>
    </row>
    <row r="74" spans="2:7" x14ac:dyDescent="0.2">
      <c r="B74" s="22" t="s">
        <v>27</v>
      </c>
      <c r="C74">
        <v>6.6411163179867894E-2</v>
      </c>
      <c r="D74">
        <v>8.1900000000000001E-2</v>
      </c>
      <c r="E74">
        <v>6.2313703140791203E-2</v>
      </c>
      <c r="F74">
        <v>7.7121495579165894E-2</v>
      </c>
      <c r="G74">
        <v>8.5890856761442605E-2</v>
      </c>
    </row>
    <row r="75" spans="2:7" x14ac:dyDescent="0.2">
      <c r="B75" s="22" t="s">
        <v>28</v>
      </c>
      <c r="C75">
        <v>8.1989163177581134E-2</v>
      </c>
      <c r="D75">
        <v>0.11862</v>
      </c>
      <c r="E75">
        <v>7.1140725490004914E-2</v>
      </c>
      <c r="F75">
        <v>9.822034502150917E-2</v>
      </c>
      <c r="G75">
        <v>9.9846532316151079E-2</v>
      </c>
    </row>
    <row r="76" spans="2:7" x14ac:dyDescent="0.2">
      <c r="B76" s="22" t="s">
        <v>18</v>
      </c>
      <c r="C76">
        <v>8.3465778559912246E-2</v>
      </c>
      <c r="D76">
        <v>8.2699999999999996E-2</v>
      </c>
      <c r="E76">
        <v>7.8458002682507078E-2</v>
      </c>
      <c r="F76">
        <v>6.7663645942560316E-2</v>
      </c>
      <c r="G76">
        <v>9.1395299673537919E-2</v>
      </c>
    </row>
    <row r="77" spans="2:7" x14ac:dyDescent="0.2">
      <c r="B77" s="22" t="s">
        <v>29</v>
      </c>
      <c r="C77">
        <v>0.15684999712035336</v>
      </c>
      <c r="D77">
        <v>8.2110000000000002E-2</v>
      </c>
      <c r="E77">
        <v>0.13285976236258221</v>
      </c>
      <c r="F77">
        <v>0.21464988776158439</v>
      </c>
      <c r="G77">
        <v>0.18547654921925333</v>
      </c>
    </row>
    <row r="78" spans="2:7" x14ac:dyDescent="0.2">
      <c r="C78">
        <v>1</v>
      </c>
      <c r="D78">
        <v>1</v>
      </c>
      <c r="E78">
        <v>1</v>
      </c>
      <c r="F78">
        <v>1</v>
      </c>
      <c r="G78">
        <v>0.99999999999999978</v>
      </c>
    </row>
  </sheetData>
  <phoneticPr fontId="0" type="noConversion"/>
  <pageMargins left="0.25" right="0.25" top="1" bottom="1" header="0.5" footer="0.5"/>
  <pageSetup scale="10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"/>
  <sheetViews>
    <sheetView workbookViewId="0">
      <pane xSplit="1" topLeftCell="Z1" activePane="topRight" state="frozen"/>
      <selection pane="topRight" activeCell="AP25" sqref="AP25"/>
    </sheetView>
  </sheetViews>
  <sheetFormatPr defaultRowHeight="12.75" x14ac:dyDescent="0.2"/>
  <cols>
    <col min="1" max="1" width="10" bestFit="1" customWidth="1"/>
    <col min="2" max="2" width="12.85546875" bestFit="1" customWidth="1"/>
    <col min="3" max="3" width="10" customWidth="1"/>
    <col min="4" max="4" width="3.85546875" customWidth="1"/>
    <col min="5" max="5" width="14.85546875" customWidth="1"/>
    <col min="6" max="6" width="10" customWidth="1"/>
    <col min="7" max="7" width="3.5703125" customWidth="1"/>
    <col min="8" max="8" width="14.140625" bestFit="1" customWidth="1"/>
    <col min="9" max="9" width="10" customWidth="1"/>
    <col min="10" max="10" width="4" customWidth="1"/>
    <col min="11" max="11" width="12.85546875" bestFit="1" customWidth="1"/>
    <col min="12" max="12" width="10" customWidth="1"/>
    <col min="13" max="13" width="2.85546875" customWidth="1"/>
    <col min="14" max="14" width="14.140625" bestFit="1" customWidth="1"/>
    <col min="15" max="15" width="6.140625" bestFit="1" customWidth="1"/>
    <col min="16" max="16" width="2.85546875" customWidth="1"/>
    <col min="17" max="17" width="12.85546875" bestFit="1" customWidth="1"/>
    <col min="18" max="18" width="6.140625" bestFit="1" customWidth="1"/>
    <col min="19" max="19" width="2.85546875" customWidth="1"/>
    <col min="20" max="20" width="14.140625" style="3" bestFit="1" customWidth="1"/>
    <col min="21" max="21" width="6.140625" style="3" bestFit="1" customWidth="1"/>
    <col min="22" max="22" width="3.28515625" customWidth="1"/>
    <col min="23" max="23" width="12.5703125" bestFit="1" customWidth="1"/>
    <col min="24" max="24" width="6.140625" bestFit="1" customWidth="1"/>
    <col min="25" max="25" width="3.28515625" customWidth="1"/>
    <col min="26" max="26" width="13.140625" style="3" bestFit="1" customWidth="1"/>
    <col min="27" max="27" width="6.140625" style="3" bestFit="1" customWidth="1"/>
    <col min="28" max="28" width="3.28515625" customWidth="1"/>
    <col min="29" max="29" width="14" style="3" bestFit="1" customWidth="1"/>
    <col min="30" max="30" width="6.140625" style="3" bestFit="1" customWidth="1"/>
    <col min="31" max="31" width="3.28515625" customWidth="1"/>
    <col min="32" max="32" width="12.85546875" style="3" bestFit="1" customWidth="1"/>
    <col min="33" max="33" width="6.140625" style="3" bestFit="1" customWidth="1"/>
    <col min="34" max="34" width="3.28515625" customWidth="1"/>
    <col min="35" max="35" width="14.140625" customWidth="1"/>
    <col min="36" max="36" width="6.140625" bestFit="1" customWidth="1"/>
    <col min="37" max="37" width="3.28515625" customWidth="1"/>
    <col min="38" max="38" width="14" bestFit="1" customWidth="1"/>
    <col min="39" max="40" width="11.28515625" bestFit="1" customWidth="1"/>
    <col min="41" max="41" width="13" style="17" bestFit="1" customWidth="1"/>
    <col min="42" max="42" width="12.85546875" bestFit="1" customWidth="1"/>
  </cols>
  <sheetData>
    <row r="1" spans="1:45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  <c r="U1" s="38"/>
      <c r="V1" s="37"/>
      <c r="W1" s="37"/>
      <c r="X1" s="37"/>
      <c r="Y1" s="37"/>
      <c r="Z1" s="38"/>
      <c r="AA1" s="38"/>
      <c r="AB1" s="37"/>
      <c r="AC1" s="38"/>
      <c r="AD1" s="38"/>
      <c r="AE1" s="37"/>
      <c r="AF1" s="38"/>
      <c r="AG1" s="38"/>
      <c r="AH1" s="37"/>
      <c r="AI1" s="37"/>
      <c r="AJ1" s="37"/>
      <c r="AK1" s="37"/>
      <c r="AL1" s="37"/>
      <c r="AM1" s="37"/>
      <c r="AN1" s="37"/>
      <c r="AO1" s="44"/>
      <c r="AP1" s="37"/>
      <c r="AQ1" s="37"/>
      <c r="AR1" s="37"/>
      <c r="AS1" s="37"/>
    </row>
    <row r="2" spans="1:45" x14ac:dyDescent="0.2">
      <c r="A2" s="37"/>
      <c r="B2" s="37" t="s">
        <v>141</v>
      </c>
      <c r="C2" s="37"/>
      <c r="D2" s="38"/>
      <c r="E2" s="37" t="s">
        <v>140</v>
      </c>
      <c r="F2" s="37"/>
      <c r="G2" s="37"/>
      <c r="H2" s="37" t="s">
        <v>165</v>
      </c>
      <c r="I2" s="37"/>
      <c r="J2" s="38"/>
      <c r="K2" s="37" t="s">
        <v>175</v>
      </c>
      <c r="L2" s="37"/>
      <c r="M2" s="37"/>
      <c r="N2" s="37" t="s">
        <v>176</v>
      </c>
      <c r="O2" s="37"/>
      <c r="P2" s="37"/>
      <c r="Q2" s="37" t="s">
        <v>184</v>
      </c>
      <c r="R2" s="37"/>
      <c r="S2" s="37"/>
      <c r="T2" s="37" t="s">
        <v>188</v>
      </c>
      <c r="U2" s="37"/>
      <c r="V2" s="37"/>
      <c r="W2" s="37" t="s">
        <v>187</v>
      </c>
      <c r="X2" s="37"/>
      <c r="Y2" s="37"/>
      <c r="Z2" s="37" t="s">
        <v>200</v>
      </c>
      <c r="AA2" s="37"/>
      <c r="AB2" s="37"/>
      <c r="AC2" s="37" t="s">
        <v>201</v>
      </c>
      <c r="AD2" s="37"/>
      <c r="AE2" s="38"/>
      <c r="AF2" s="37" t="s">
        <v>220</v>
      </c>
      <c r="AG2" s="37"/>
      <c r="AH2" s="37"/>
      <c r="AI2" s="37" t="s">
        <v>221</v>
      </c>
      <c r="AJ2" s="37"/>
      <c r="AK2" s="37"/>
      <c r="AL2" s="37"/>
      <c r="AM2" s="37"/>
      <c r="AN2" s="37"/>
      <c r="AO2" s="44"/>
      <c r="AP2" s="37"/>
      <c r="AQ2" s="37"/>
      <c r="AR2" s="37"/>
      <c r="AS2" s="37"/>
    </row>
    <row r="3" spans="1:45" ht="15" x14ac:dyDescent="0.25">
      <c r="A3" s="37"/>
      <c r="B3" s="35" t="s">
        <v>139</v>
      </c>
      <c r="C3" s="35"/>
      <c r="D3" s="37"/>
      <c r="E3" s="42" t="s">
        <v>139</v>
      </c>
      <c r="F3" s="42"/>
      <c r="G3" s="37"/>
      <c r="H3" s="61" t="s">
        <v>139</v>
      </c>
      <c r="I3" s="61"/>
      <c r="J3" s="37"/>
      <c r="K3" s="60" t="s">
        <v>139</v>
      </c>
      <c r="L3" s="60"/>
      <c r="M3" s="37"/>
      <c r="N3" s="81" t="s">
        <v>139</v>
      </c>
      <c r="O3" s="81"/>
      <c r="P3" s="37"/>
      <c r="Q3" s="80" t="s">
        <v>139</v>
      </c>
      <c r="R3" s="80"/>
      <c r="S3" s="37"/>
      <c r="T3" s="61" t="s">
        <v>139</v>
      </c>
      <c r="U3" s="61"/>
      <c r="V3" s="37"/>
      <c r="W3" s="80" t="s">
        <v>139</v>
      </c>
      <c r="X3" s="80"/>
      <c r="Y3" s="37"/>
      <c r="Z3" s="80" t="s">
        <v>139</v>
      </c>
      <c r="AA3" s="61"/>
      <c r="AB3" s="37"/>
      <c r="AC3" s="109" t="s">
        <v>139</v>
      </c>
      <c r="AD3" s="61"/>
      <c r="AE3" s="37"/>
      <c r="AF3" s="109" t="s">
        <v>139</v>
      </c>
      <c r="AG3" s="35"/>
      <c r="AH3" s="37"/>
      <c r="AI3" s="109" t="s">
        <v>139</v>
      </c>
      <c r="AJ3" s="35"/>
      <c r="AK3" s="37"/>
      <c r="AL3" s="37"/>
      <c r="AM3" s="37"/>
      <c r="AN3" s="37"/>
      <c r="AO3" s="44"/>
      <c r="AP3" s="37"/>
      <c r="AQ3" s="37"/>
      <c r="AR3" s="37"/>
      <c r="AS3" s="37"/>
    </row>
    <row r="4" spans="1:45" ht="15" x14ac:dyDescent="0.25">
      <c r="A4" s="37" t="s">
        <v>17</v>
      </c>
      <c r="B4" s="36">
        <v>200356.81</v>
      </c>
      <c r="C4" s="87">
        <f t="shared" ref="C4:C15" si="0">B4/B$17</f>
        <v>3.6636015502401205E-2</v>
      </c>
      <c r="D4" s="37"/>
      <c r="E4" s="43">
        <v>747814.16</v>
      </c>
      <c r="F4" s="87">
        <f t="shared" ref="F4:F15" si="1">E4/E$17</f>
        <v>8.8777374630049574E-2</v>
      </c>
      <c r="G4" s="37"/>
      <c r="H4" s="62">
        <v>103065.24</v>
      </c>
      <c r="I4" s="87">
        <f t="shared" ref="I4:I15" si="2">H4/H$17</f>
        <v>1.8817435880537612E-2</v>
      </c>
      <c r="J4" s="37"/>
      <c r="K4" s="68">
        <v>115242.81999999999</v>
      </c>
      <c r="L4" s="87">
        <f t="shared" ref="L4:L15" si="3">K4/K$17</f>
        <v>1.6665423659518241E-2</v>
      </c>
      <c r="M4" s="37"/>
      <c r="N4" s="82">
        <v>2043601.4199999997</v>
      </c>
      <c r="O4" s="87">
        <f t="shared" ref="O4:O15" si="4">N4/N$17</f>
        <v>0.2357996990486701</v>
      </c>
      <c r="P4" s="37"/>
      <c r="Q4" s="84">
        <v>215510.90999999997</v>
      </c>
      <c r="R4" s="87">
        <f t="shared" ref="R4:R15" si="5">Q4/Q$17</f>
        <v>4.404725487930327E-2</v>
      </c>
      <c r="S4" s="37"/>
      <c r="T4" s="62">
        <v>489949.21</v>
      </c>
      <c r="U4" s="87">
        <f t="shared" ref="U4:U15" si="6">T4/T$17</f>
        <v>0.17450148865378237</v>
      </c>
      <c r="V4" s="37"/>
      <c r="W4" s="62">
        <v>0</v>
      </c>
      <c r="X4" s="87">
        <f t="shared" ref="X4:X15" si="7">W4/W$17</f>
        <v>0</v>
      </c>
      <c r="Y4" s="37"/>
      <c r="Z4" s="84">
        <v>1238738.8400000001</v>
      </c>
      <c r="AA4" s="87">
        <f t="shared" ref="AA4:AA15" si="8">Z4/Z$17</f>
        <v>0.17419697672970533</v>
      </c>
      <c r="AB4" s="37"/>
      <c r="AC4" s="110">
        <v>224220.6</v>
      </c>
      <c r="AD4" s="87">
        <f>AC4/AC$17</f>
        <v>4.0110639380342192E-2</v>
      </c>
      <c r="AE4" s="37"/>
      <c r="AF4" s="110">
        <v>473997.69</v>
      </c>
      <c r="AG4" s="87">
        <f t="shared" ref="AG4:AG15" si="9">AF4/AF$17</f>
        <v>5.3701921721078016E-2</v>
      </c>
      <c r="AH4" s="37"/>
      <c r="AI4" s="110">
        <v>106689.16</v>
      </c>
      <c r="AJ4" s="87">
        <f t="shared" ref="AJ4:AJ15" si="10">AI4/AI$17</f>
        <v>5.3238633787796447E-2</v>
      </c>
      <c r="AK4" s="37"/>
      <c r="AL4" s="39">
        <f>AC4+AF4+AI4</f>
        <v>804907.45000000007</v>
      </c>
      <c r="AM4" s="37"/>
      <c r="AN4" s="59">
        <f t="shared" ref="AN4:AN12" si="11">ROUND((AL4/AL$17),4)</f>
        <v>4.3900000000000002E-2</v>
      </c>
      <c r="AO4" s="44">
        <f t="shared" ref="AO4:AO14" si="12">ROUND((AO$19*AN4),0)</f>
        <v>246867</v>
      </c>
      <c r="AP4" s="37"/>
      <c r="AQ4" s="37"/>
      <c r="AR4" s="37"/>
      <c r="AS4" s="37"/>
    </row>
    <row r="5" spans="1:45" ht="15" x14ac:dyDescent="0.25">
      <c r="A5" s="37" t="s">
        <v>20</v>
      </c>
      <c r="B5" s="36">
        <v>451555.64</v>
      </c>
      <c r="C5" s="87">
        <f t="shared" si="0"/>
        <v>8.2568690463961258E-2</v>
      </c>
      <c r="D5" s="37"/>
      <c r="E5" s="43">
        <v>149944.03</v>
      </c>
      <c r="F5" s="87">
        <f t="shared" si="1"/>
        <v>1.7800729160904617E-2</v>
      </c>
      <c r="G5" s="37"/>
      <c r="H5" s="62">
        <v>60033.01</v>
      </c>
      <c r="I5" s="87">
        <f t="shared" si="2"/>
        <v>1.0960701361493684E-2</v>
      </c>
      <c r="J5" s="37"/>
      <c r="K5" s="68">
        <v>475370.93</v>
      </c>
      <c r="L5" s="87">
        <f t="shared" si="3"/>
        <v>6.8744047949097303E-2</v>
      </c>
      <c r="M5" s="37"/>
      <c r="N5" s="82">
        <v>107445.41</v>
      </c>
      <c r="O5" s="87">
        <f t="shared" si="4"/>
        <v>1.239752287026742E-2</v>
      </c>
      <c r="P5" s="37"/>
      <c r="Q5" s="84">
        <v>614593.44000000006</v>
      </c>
      <c r="R5" s="87">
        <f t="shared" si="5"/>
        <v>0.12561384432383393</v>
      </c>
      <c r="S5" s="37"/>
      <c r="T5" s="62">
        <v>14238.400000000001</v>
      </c>
      <c r="U5" s="87">
        <f t="shared" si="6"/>
        <v>5.0711827784108788E-3</v>
      </c>
      <c r="V5" s="37"/>
      <c r="W5" s="84">
        <v>234020.54999999996</v>
      </c>
      <c r="X5" s="87">
        <f t="shared" si="7"/>
        <v>7.3511590280266464E-2</v>
      </c>
      <c r="Y5" s="37"/>
      <c r="Z5" s="84">
        <v>346162.35000000003</v>
      </c>
      <c r="AA5" s="87">
        <f t="shared" si="8"/>
        <v>4.8678892499770261E-2</v>
      </c>
      <c r="AB5" s="37"/>
      <c r="AC5" s="110">
        <v>356029.81</v>
      </c>
      <c r="AD5" s="87">
        <f t="shared" ref="AD5:AD6" si="13">AC5/AC$17</f>
        <v>6.3689880936728144E-2</v>
      </c>
      <c r="AE5" s="37"/>
      <c r="AF5" s="110">
        <v>427416.69</v>
      </c>
      <c r="AG5" s="87">
        <f t="shared" si="9"/>
        <v>4.8424492593333673E-2</v>
      </c>
      <c r="AH5" s="37"/>
      <c r="AI5" s="110">
        <v>1043304.62</v>
      </c>
      <c r="AJ5" s="87">
        <f t="shared" si="10"/>
        <v>0.52061627060608717</v>
      </c>
      <c r="AK5" s="37"/>
      <c r="AL5" s="39">
        <f t="shared" ref="AL5:AL14" si="14">AC5+AF5+AI5</f>
        <v>1826751.12</v>
      </c>
      <c r="AM5" s="37"/>
      <c r="AN5" s="59">
        <f t="shared" si="11"/>
        <v>9.9599999999999994E-2</v>
      </c>
      <c r="AO5" s="44">
        <f t="shared" si="12"/>
        <v>560090</v>
      </c>
      <c r="AP5" s="37"/>
      <c r="AQ5" s="37"/>
      <c r="AR5" s="37"/>
      <c r="AS5" s="37"/>
    </row>
    <row r="6" spans="1:45" ht="15" x14ac:dyDescent="0.25">
      <c r="A6" s="37" t="s">
        <v>21</v>
      </c>
      <c r="B6" s="36">
        <v>351102.49</v>
      </c>
      <c r="C6" s="87">
        <f t="shared" si="0"/>
        <v>6.4200444529794939E-2</v>
      </c>
      <c r="D6" s="37"/>
      <c r="E6" s="43">
        <v>338373.57</v>
      </c>
      <c r="F6" s="87">
        <f t="shared" si="1"/>
        <v>4.0170297375483374E-2</v>
      </c>
      <c r="G6" s="37"/>
      <c r="H6" s="62">
        <v>127700.76</v>
      </c>
      <c r="I6" s="87">
        <f t="shared" si="2"/>
        <v>2.3315337578371932E-2</v>
      </c>
      <c r="J6" s="37"/>
      <c r="K6" s="68">
        <v>341039.31999999995</v>
      </c>
      <c r="L6" s="87">
        <f t="shared" si="3"/>
        <v>4.9318167954880067E-2</v>
      </c>
      <c r="M6" s="37"/>
      <c r="N6" s="82">
        <v>345860.35000000003</v>
      </c>
      <c r="O6" s="87">
        <f t="shared" si="4"/>
        <v>3.9906884798929003E-2</v>
      </c>
      <c r="P6" s="37"/>
      <c r="Q6" s="84">
        <v>215399.62000000002</v>
      </c>
      <c r="R6" s="87">
        <f t="shared" si="5"/>
        <v>4.4024508842940117E-2</v>
      </c>
      <c r="S6" s="37"/>
      <c r="T6" s="62">
        <v>80087.760000000009</v>
      </c>
      <c r="U6" s="87">
        <f t="shared" si="6"/>
        <v>2.8524249162371028E-2</v>
      </c>
      <c r="V6" s="37"/>
      <c r="W6" s="84">
        <v>68088.28</v>
      </c>
      <c r="X6" s="87">
        <f t="shared" si="7"/>
        <v>2.1388197499100238E-2</v>
      </c>
      <c r="Y6" s="37"/>
      <c r="Z6" s="84">
        <v>216560.55000000002</v>
      </c>
      <c r="AA6" s="87">
        <f t="shared" si="8"/>
        <v>3.0453709749604839E-2</v>
      </c>
      <c r="AB6" s="37"/>
      <c r="AC6" s="110">
        <v>0</v>
      </c>
      <c r="AD6" s="87">
        <f t="shared" si="13"/>
        <v>0</v>
      </c>
      <c r="AE6" s="37"/>
      <c r="AF6" s="110">
        <v>441817.13</v>
      </c>
      <c r="AG6" s="87">
        <f t="shared" si="9"/>
        <v>5.0056001180704808E-2</v>
      </c>
      <c r="AH6" s="37"/>
      <c r="AI6" s="110">
        <v>103099.78</v>
      </c>
      <c r="AJ6" s="87">
        <f t="shared" si="10"/>
        <v>5.1447508172548929E-2</v>
      </c>
      <c r="AK6" s="37"/>
      <c r="AL6" s="39">
        <f t="shared" si="14"/>
        <v>544916.91</v>
      </c>
      <c r="AM6" s="37"/>
      <c r="AN6" s="59">
        <f>ROUND((AL6/AL$17),4)+0.0001</f>
        <v>2.98E-2</v>
      </c>
      <c r="AO6" s="44">
        <f t="shared" si="12"/>
        <v>167577</v>
      </c>
      <c r="AP6" s="37"/>
      <c r="AQ6" s="37"/>
      <c r="AR6" s="37"/>
      <c r="AS6" s="37"/>
    </row>
    <row r="7" spans="1:45" ht="15" x14ac:dyDescent="0.25">
      <c r="A7" s="37" t="s">
        <v>22</v>
      </c>
      <c r="B7" s="36">
        <v>174577.94</v>
      </c>
      <c r="C7" s="87">
        <f t="shared" si="0"/>
        <v>3.1922249691524178E-2</v>
      </c>
      <c r="D7" s="37"/>
      <c r="E7" s="43">
        <v>654040.56999999995</v>
      </c>
      <c r="F7" s="87">
        <f t="shared" si="1"/>
        <v>7.7644965570244293E-2</v>
      </c>
      <c r="G7" s="37"/>
      <c r="H7" s="62">
        <v>306027.21999999997</v>
      </c>
      <c r="I7" s="87">
        <f t="shared" si="2"/>
        <v>5.5873809540919681E-2</v>
      </c>
      <c r="J7" s="37"/>
      <c r="K7" s="68">
        <v>436897.64</v>
      </c>
      <c r="L7" s="87">
        <f t="shared" si="3"/>
        <v>6.3180372247430977E-2</v>
      </c>
      <c r="M7" s="37"/>
      <c r="N7" s="82">
        <v>178409.63</v>
      </c>
      <c r="O7" s="87">
        <f t="shared" si="4"/>
        <v>2.0585685960907481E-2</v>
      </c>
      <c r="P7" s="37"/>
      <c r="Q7" s="84">
        <v>129550.68</v>
      </c>
      <c r="R7" s="87">
        <f t="shared" si="5"/>
        <v>2.6478250320352954E-2</v>
      </c>
      <c r="S7" s="37"/>
      <c r="T7" s="62">
        <v>32632.959999999999</v>
      </c>
      <c r="U7" s="87">
        <f t="shared" si="6"/>
        <v>1.162263349537666E-2</v>
      </c>
      <c r="V7" s="37"/>
      <c r="W7" s="84">
        <v>89237.18</v>
      </c>
      <c r="X7" s="87">
        <f t="shared" si="7"/>
        <v>2.8031585319863529E-2</v>
      </c>
      <c r="Y7" s="37"/>
      <c r="Z7" s="84">
        <v>809218.88000000035</v>
      </c>
      <c r="AA7" s="87">
        <f t="shared" si="8"/>
        <v>0.1137959655875473</v>
      </c>
      <c r="AB7" s="37"/>
      <c r="AC7" s="110">
        <v>550202.94999999995</v>
      </c>
      <c r="AD7" s="87">
        <f t="shared" ref="AD7:AD15" si="15">AC7/AC$17</f>
        <v>9.8425354822217245E-2</v>
      </c>
      <c r="AE7" s="37"/>
      <c r="AF7" s="110">
        <v>83994.19</v>
      </c>
      <c r="AG7" s="87">
        <f t="shared" si="9"/>
        <v>9.5161843856356228E-3</v>
      </c>
      <c r="AH7" s="37"/>
      <c r="AI7" s="110">
        <v>41313.93</v>
      </c>
      <c r="AJ7" s="87">
        <f t="shared" si="10"/>
        <v>2.0615938766456284E-2</v>
      </c>
      <c r="AK7" s="37"/>
      <c r="AL7" s="39">
        <f t="shared" si="14"/>
        <v>675511.07</v>
      </c>
      <c r="AM7" s="37"/>
      <c r="AN7" s="59">
        <f t="shared" si="11"/>
        <v>3.6799999999999999E-2</v>
      </c>
      <c r="AO7" s="44">
        <f t="shared" si="12"/>
        <v>206941</v>
      </c>
      <c r="AP7" s="37"/>
      <c r="AQ7" s="37"/>
      <c r="AR7" s="37"/>
      <c r="AS7" s="37"/>
    </row>
    <row r="8" spans="1:45" ht="15" x14ac:dyDescent="0.25">
      <c r="A8" s="37" t="s">
        <v>23</v>
      </c>
      <c r="B8" s="36">
        <v>196350.53</v>
      </c>
      <c r="C8" s="87">
        <f t="shared" si="0"/>
        <v>3.5903451751825619E-2</v>
      </c>
      <c r="D8" s="37"/>
      <c r="E8" s="43">
        <v>675080.18</v>
      </c>
      <c r="F8" s="87">
        <f t="shared" si="1"/>
        <v>8.0142700220040372E-2</v>
      </c>
      <c r="G8" s="37"/>
      <c r="H8" s="62">
        <v>584167.1399999999</v>
      </c>
      <c r="I8" s="87">
        <f t="shared" si="2"/>
        <v>0.10665601419515479</v>
      </c>
      <c r="J8" s="37"/>
      <c r="K8" s="68">
        <v>430616.47</v>
      </c>
      <c r="L8" s="87">
        <f t="shared" si="3"/>
        <v>6.2272043562594408E-2</v>
      </c>
      <c r="M8" s="37"/>
      <c r="N8" s="82">
        <v>90506.880000000005</v>
      </c>
      <c r="O8" s="87">
        <f t="shared" si="4"/>
        <v>1.0443080953542351E-2</v>
      </c>
      <c r="P8" s="37"/>
      <c r="Q8" s="84">
        <v>184818.56</v>
      </c>
      <c r="R8" s="87">
        <f t="shared" si="5"/>
        <v>3.7774190730046127E-2</v>
      </c>
      <c r="S8" s="37"/>
      <c r="T8" s="62">
        <v>582715.4</v>
      </c>
      <c r="U8" s="87">
        <f t="shared" si="6"/>
        <v>0.20754131792861602</v>
      </c>
      <c r="V8" s="37"/>
      <c r="W8" s="84">
        <v>76751.44</v>
      </c>
      <c r="X8" s="87">
        <f t="shared" si="7"/>
        <v>2.4109508377364534E-2</v>
      </c>
      <c r="Y8" s="37"/>
      <c r="Z8" s="84">
        <v>200927.65999999997</v>
      </c>
      <c r="AA8" s="87">
        <f t="shared" si="8"/>
        <v>2.8255343082141622E-2</v>
      </c>
      <c r="AB8" s="37"/>
      <c r="AC8" s="110">
        <v>1124993.72</v>
      </c>
      <c r="AD8" s="87">
        <f t="shared" si="15"/>
        <v>0.2012492046139813</v>
      </c>
      <c r="AE8" s="37"/>
      <c r="AF8" s="110">
        <v>138091.35999999999</v>
      </c>
      <c r="AG8" s="87">
        <f t="shared" si="9"/>
        <v>1.5645163597901086E-2</v>
      </c>
      <c r="AH8" s="37"/>
      <c r="AI8" s="110">
        <v>255297.93</v>
      </c>
      <c r="AJ8" s="87">
        <f t="shared" si="10"/>
        <v>0.12739544487980309</v>
      </c>
      <c r="AK8" s="37"/>
      <c r="AL8" s="39">
        <f t="shared" si="14"/>
        <v>1518383.01</v>
      </c>
      <c r="AM8" s="37"/>
      <c r="AN8" s="59">
        <f t="shared" si="11"/>
        <v>8.2799999999999999E-2</v>
      </c>
      <c r="AO8" s="44">
        <f t="shared" si="12"/>
        <v>465617</v>
      </c>
      <c r="AP8" s="37"/>
      <c r="AQ8" s="37"/>
      <c r="AR8" s="37"/>
      <c r="AS8" s="37"/>
    </row>
    <row r="9" spans="1:45" ht="15" x14ac:dyDescent="0.25">
      <c r="A9" s="37" t="s">
        <v>24</v>
      </c>
      <c r="B9" s="36">
        <v>565351.18000000005</v>
      </c>
      <c r="C9" s="87">
        <f t="shared" si="0"/>
        <v>0.10337664387240351</v>
      </c>
      <c r="D9" s="37"/>
      <c r="E9" s="43">
        <v>436259.12</v>
      </c>
      <c r="F9" s="87">
        <f t="shared" si="1"/>
        <v>5.1790861157290403E-2</v>
      </c>
      <c r="G9" s="37"/>
      <c r="H9" s="62">
        <v>316713.43999999994</v>
      </c>
      <c r="I9" s="87">
        <f t="shared" si="2"/>
        <v>5.7824877230232954E-2</v>
      </c>
      <c r="J9" s="37"/>
      <c r="K9" s="68">
        <v>372273.97000000003</v>
      </c>
      <c r="L9" s="87">
        <f t="shared" si="3"/>
        <v>5.383505391017665E-2</v>
      </c>
      <c r="M9" s="37"/>
      <c r="N9" s="82">
        <v>496808.7300000001</v>
      </c>
      <c r="O9" s="87">
        <f t="shared" si="4"/>
        <v>5.7323971236402864E-2</v>
      </c>
      <c r="P9" s="37"/>
      <c r="Q9" s="84">
        <v>234311.77999999997</v>
      </c>
      <c r="R9" s="87">
        <f t="shared" si="5"/>
        <v>4.7889875713870975E-2</v>
      </c>
      <c r="S9" s="37"/>
      <c r="T9" s="62">
        <v>41998.82</v>
      </c>
      <c r="U9" s="87">
        <f t="shared" si="6"/>
        <v>1.495840071198859E-2</v>
      </c>
      <c r="V9" s="37"/>
      <c r="W9" s="84">
        <v>13361.45</v>
      </c>
      <c r="X9" s="87">
        <f t="shared" si="7"/>
        <v>4.197158915959588E-3</v>
      </c>
      <c r="Y9" s="37"/>
      <c r="Z9" s="84">
        <v>312598.15000000008</v>
      </c>
      <c r="AA9" s="87">
        <f t="shared" si="8"/>
        <v>4.3958945100404656E-2</v>
      </c>
      <c r="AB9" s="37"/>
      <c r="AC9" s="110">
        <v>13816.84</v>
      </c>
      <c r="AD9" s="87">
        <f t="shared" si="15"/>
        <v>2.4716831843991463E-3</v>
      </c>
      <c r="AE9" s="37"/>
      <c r="AF9" s="110">
        <v>593565.05999999994</v>
      </c>
      <c r="AG9" s="87">
        <f t="shared" si="9"/>
        <v>6.7248396059666399E-2</v>
      </c>
      <c r="AH9" s="37"/>
      <c r="AI9" s="110">
        <v>255639.76</v>
      </c>
      <c r="AJ9" s="87">
        <f t="shared" si="10"/>
        <v>0.12756602043019341</v>
      </c>
      <c r="AK9" s="37"/>
      <c r="AL9" s="39">
        <f t="shared" si="14"/>
        <v>863021.65999999992</v>
      </c>
      <c r="AM9" s="37"/>
      <c r="AN9" s="59">
        <f t="shared" si="11"/>
        <v>4.7E-2</v>
      </c>
      <c r="AO9" s="44">
        <f t="shared" si="12"/>
        <v>264299</v>
      </c>
      <c r="AP9" s="37"/>
      <c r="AQ9" s="37"/>
      <c r="AR9" s="37"/>
      <c r="AS9" s="37"/>
    </row>
    <row r="10" spans="1:45" ht="15" x14ac:dyDescent="0.25">
      <c r="A10" s="37" t="s">
        <v>25</v>
      </c>
      <c r="B10" s="36">
        <v>271526.09999999998</v>
      </c>
      <c r="C10" s="87">
        <f t="shared" si="0"/>
        <v>4.9649594685134683E-2</v>
      </c>
      <c r="D10" s="37"/>
      <c r="E10" s="43">
        <v>255610.13</v>
      </c>
      <c r="F10" s="87">
        <f t="shared" si="1"/>
        <v>3.0344967351575252E-2</v>
      </c>
      <c r="G10" s="37"/>
      <c r="H10" s="62">
        <v>584112.45999999985</v>
      </c>
      <c r="I10" s="87">
        <f t="shared" si="2"/>
        <v>0.10664603083515924</v>
      </c>
      <c r="J10" s="37"/>
      <c r="K10" s="68">
        <v>1855705.0399999982</v>
      </c>
      <c r="L10" s="87">
        <f t="shared" si="3"/>
        <v>0.26835607353849211</v>
      </c>
      <c r="M10" s="37"/>
      <c r="N10" s="82">
        <v>326760.72000000003</v>
      </c>
      <c r="O10" s="87">
        <f t="shared" si="4"/>
        <v>3.7703085681417649E-2</v>
      </c>
      <c r="P10" s="37"/>
      <c r="Q10" s="84">
        <v>236941.94999999998</v>
      </c>
      <c r="R10" s="87">
        <f t="shared" si="5"/>
        <v>4.842744371154635E-2</v>
      </c>
      <c r="S10" s="37"/>
      <c r="T10" s="62">
        <v>39924.370000000003</v>
      </c>
      <c r="U10" s="87">
        <f t="shared" si="6"/>
        <v>1.4219559612239009E-2</v>
      </c>
      <c r="V10" s="37"/>
      <c r="W10" s="84">
        <v>284111.09000000003</v>
      </c>
      <c r="X10" s="87">
        <f t="shared" si="7"/>
        <v>8.9246256545247482E-2</v>
      </c>
      <c r="Y10" s="37"/>
      <c r="Z10" s="84">
        <v>280073.25</v>
      </c>
      <c r="AA10" s="87">
        <f t="shared" si="8"/>
        <v>3.9385148699190652E-2</v>
      </c>
      <c r="AB10" s="37"/>
      <c r="AC10" s="110">
        <v>345773.28</v>
      </c>
      <c r="AD10" s="87">
        <f t="shared" si="15"/>
        <v>6.185509869047754E-2</v>
      </c>
      <c r="AE10" s="37"/>
      <c r="AF10" s="110">
        <v>942793.56000000017</v>
      </c>
      <c r="AG10" s="87">
        <f t="shared" si="9"/>
        <v>0.10681449936656122</v>
      </c>
      <c r="AH10" s="37"/>
      <c r="AI10" s="110">
        <v>198634.87</v>
      </c>
      <c r="AJ10" s="87">
        <f t="shared" si="10"/>
        <v>9.9120183357114769E-2</v>
      </c>
      <c r="AK10" s="37"/>
      <c r="AL10" s="39">
        <f t="shared" si="14"/>
        <v>1487201.7100000004</v>
      </c>
      <c r="AM10" s="37"/>
      <c r="AN10" s="59">
        <f t="shared" si="11"/>
        <v>8.1100000000000005E-2</v>
      </c>
      <c r="AO10" s="44">
        <f t="shared" si="12"/>
        <v>456057</v>
      </c>
      <c r="AP10" s="37"/>
      <c r="AQ10" s="37"/>
      <c r="AR10" s="37"/>
      <c r="AS10" s="37"/>
    </row>
    <row r="11" spans="1:45" ht="15" x14ac:dyDescent="0.25">
      <c r="A11" s="37" t="s">
        <v>26</v>
      </c>
      <c r="B11" s="36">
        <v>618078.65</v>
      </c>
      <c r="C11" s="87">
        <f t="shared" si="0"/>
        <v>0.11301806513640944</v>
      </c>
      <c r="D11" s="37"/>
      <c r="E11" s="43">
        <v>529997.6</v>
      </c>
      <c r="F11" s="87">
        <f t="shared" si="1"/>
        <v>6.2919102104495001E-2</v>
      </c>
      <c r="G11" s="37"/>
      <c r="H11" s="62">
        <v>567647.62999999989</v>
      </c>
      <c r="I11" s="87">
        <f t="shared" si="2"/>
        <v>0.10363991662236595</v>
      </c>
      <c r="J11" s="37"/>
      <c r="K11" s="68">
        <v>267977.92999999993</v>
      </c>
      <c r="L11" s="87">
        <f t="shared" si="3"/>
        <v>3.8752659253311589E-2</v>
      </c>
      <c r="M11" s="37"/>
      <c r="N11" s="82">
        <v>217857.89</v>
      </c>
      <c r="O11" s="87">
        <f t="shared" si="4"/>
        <v>2.5137399296472542E-2</v>
      </c>
      <c r="P11" s="37"/>
      <c r="Q11" s="84">
        <v>882097.51000000024</v>
      </c>
      <c r="R11" s="87">
        <f t="shared" si="5"/>
        <v>0.18028773509131754</v>
      </c>
      <c r="S11" s="37"/>
      <c r="T11" s="62">
        <v>231867.48</v>
      </c>
      <c r="U11" s="87">
        <f t="shared" si="6"/>
        <v>8.2582479172486289E-2</v>
      </c>
      <c r="V11" s="37"/>
      <c r="W11" s="84">
        <v>486366.22000000015</v>
      </c>
      <c r="X11" s="87">
        <f t="shared" si="7"/>
        <v>0.15277954987629058</v>
      </c>
      <c r="Y11" s="37"/>
      <c r="Z11" s="84">
        <v>351795.12000000005</v>
      </c>
      <c r="AA11" s="87">
        <f t="shared" si="8"/>
        <v>4.9470997722380207E-2</v>
      </c>
      <c r="AB11" s="37"/>
      <c r="AC11" s="110">
        <v>315056.53999999992</v>
      </c>
      <c r="AD11" s="87">
        <f t="shared" si="15"/>
        <v>5.6360206244913946E-2</v>
      </c>
      <c r="AE11" s="37"/>
      <c r="AF11" s="110">
        <v>207810.58000000002</v>
      </c>
      <c r="AG11" s="87">
        <f t="shared" si="9"/>
        <v>2.3544054613371265E-2</v>
      </c>
      <c r="AH11" s="37"/>
      <c r="AI11" s="110"/>
      <c r="AJ11" s="87">
        <f t="shared" si="10"/>
        <v>0</v>
      </c>
      <c r="AK11" s="37"/>
      <c r="AL11" s="39">
        <f t="shared" si="14"/>
        <v>522867.11999999994</v>
      </c>
      <c r="AM11" s="37"/>
      <c r="AN11" s="59">
        <f t="shared" si="11"/>
        <v>2.8500000000000001E-2</v>
      </c>
      <c r="AO11" s="44">
        <f t="shared" si="12"/>
        <v>160267</v>
      </c>
      <c r="AP11" s="37"/>
      <c r="AQ11" s="37"/>
      <c r="AR11" s="37"/>
      <c r="AS11" s="37"/>
    </row>
    <row r="12" spans="1:45" ht="15" x14ac:dyDescent="0.25">
      <c r="A12" s="37" t="s">
        <v>27</v>
      </c>
      <c r="B12" s="36">
        <v>27263.72</v>
      </c>
      <c r="C12" s="87">
        <f t="shared" si="0"/>
        <v>4.9852763605745462E-3</v>
      </c>
      <c r="D12" s="37"/>
      <c r="E12" s="43">
        <v>545537.63</v>
      </c>
      <c r="F12" s="87">
        <f t="shared" si="1"/>
        <v>6.4763949579798502E-2</v>
      </c>
      <c r="G12" s="37"/>
      <c r="H12" s="62">
        <v>1422161.28</v>
      </c>
      <c r="I12" s="87">
        <f t="shared" si="2"/>
        <v>0.2596552309797493</v>
      </c>
      <c r="J12" s="37"/>
      <c r="K12" s="68">
        <v>920278.34999999986</v>
      </c>
      <c r="L12" s="87">
        <f t="shared" si="3"/>
        <v>0.1330827255653099</v>
      </c>
      <c r="M12" s="37"/>
      <c r="N12" s="82">
        <v>1022143.62</v>
      </c>
      <c r="O12" s="87">
        <f t="shared" si="4"/>
        <v>0.11793941598480503</v>
      </c>
      <c r="P12" s="37"/>
      <c r="Q12" s="84">
        <v>739368.40999999992</v>
      </c>
      <c r="R12" s="87">
        <f t="shared" si="5"/>
        <v>0.15111600988077681</v>
      </c>
      <c r="S12" s="37"/>
      <c r="T12" s="62">
        <v>139845.87</v>
      </c>
      <c r="U12" s="87">
        <f t="shared" si="6"/>
        <v>4.980784130069997E-2</v>
      </c>
      <c r="V12" s="37"/>
      <c r="W12" s="84">
        <v>204922.00999999998</v>
      </c>
      <c r="X12" s="87">
        <f t="shared" si="7"/>
        <v>6.437102570064325E-2</v>
      </c>
      <c r="Y12" s="37"/>
      <c r="Z12" s="84">
        <v>202595.86</v>
      </c>
      <c r="AA12" s="87">
        <f t="shared" si="8"/>
        <v>2.8489932801295414E-2</v>
      </c>
      <c r="AB12" s="37"/>
      <c r="AC12" s="110">
        <v>469742.11999999994</v>
      </c>
      <c r="AD12" s="87">
        <f t="shared" si="15"/>
        <v>8.4031782882917197E-2</v>
      </c>
      <c r="AE12" s="37"/>
      <c r="AF12" s="110">
        <v>1237422.3100000003</v>
      </c>
      <c r="AG12" s="87">
        <f t="shared" si="9"/>
        <v>0.14019468328534587</v>
      </c>
      <c r="AH12" s="37"/>
      <c r="AI12" s="110"/>
      <c r="AJ12" s="87">
        <f t="shared" si="10"/>
        <v>0</v>
      </c>
      <c r="AK12" s="37"/>
      <c r="AL12" s="39">
        <f t="shared" si="14"/>
        <v>1707164.4300000002</v>
      </c>
      <c r="AM12" s="37"/>
      <c r="AN12" s="59">
        <f t="shared" si="11"/>
        <v>9.3100000000000002E-2</v>
      </c>
      <c r="AO12" s="44">
        <f t="shared" si="12"/>
        <v>523538</v>
      </c>
      <c r="AP12" s="37"/>
      <c r="AQ12" s="37"/>
      <c r="AR12" s="37"/>
      <c r="AS12" s="37"/>
    </row>
    <row r="13" spans="1:45" ht="15" x14ac:dyDescent="0.25">
      <c r="A13" s="37" t="s">
        <v>28</v>
      </c>
      <c r="B13" s="36">
        <v>145117.19</v>
      </c>
      <c r="C13" s="87">
        <f t="shared" si="0"/>
        <v>2.6535237921310992E-2</v>
      </c>
      <c r="D13" s="37"/>
      <c r="E13" s="43">
        <v>243926.63</v>
      </c>
      <c r="F13" s="87">
        <f t="shared" si="1"/>
        <v>2.8957951015203414E-2</v>
      </c>
      <c r="G13" s="37"/>
      <c r="H13" s="62">
        <v>336029.02999999997</v>
      </c>
      <c r="I13" s="87">
        <f t="shared" si="2"/>
        <v>6.135147723931219E-2</v>
      </c>
      <c r="J13" s="37"/>
      <c r="K13" s="68">
        <v>566094.82000000007</v>
      </c>
      <c r="L13" s="87">
        <f t="shared" si="3"/>
        <v>8.1863755214934178E-2</v>
      </c>
      <c r="M13" s="37"/>
      <c r="N13" s="82">
        <v>844009.98999999964</v>
      </c>
      <c r="O13" s="87">
        <f t="shared" si="4"/>
        <v>9.7385576114970118E-2</v>
      </c>
      <c r="P13" s="37"/>
      <c r="Q13" s="84">
        <v>359775.80000000005</v>
      </c>
      <c r="R13" s="87">
        <f t="shared" si="5"/>
        <v>7.3532872939032365E-2</v>
      </c>
      <c r="S13" s="37"/>
      <c r="T13" s="62">
        <v>228631</v>
      </c>
      <c r="U13" s="87">
        <f t="shared" si="6"/>
        <v>8.1429766673984258E-2</v>
      </c>
      <c r="V13" s="37"/>
      <c r="W13" s="84">
        <v>331113.18</v>
      </c>
      <c r="X13" s="87">
        <f t="shared" si="7"/>
        <v>0.10401076497152119</v>
      </c>
      <c r="Y13" s="37"/>
      <c r="Z13" s="84">
        <v>281359.64999999997</v>
      </c>
      <c r="AA13" s="87">
        <f t="shared" si="8"/>
        <v>3.9566048000664954E-2</v>
      </c>
      <c r="AB13" s="37"/>
      <c r="AC13" s="110">
        <v>777958.04</v>
      </c>
      <c r="AD13" s="87">
        <f t="shared" si="15"/>
        <v>0.13916827622206804</v>
      </c>
      <c r="AE13" s="37"/>
      <c r="AF13" s="110">
        <v>325518.99999999994</v>
      </c>
      <c r="AG13" s="87">
        <f t="shared" si="9"/>
        <v>3.6879917825598671E-2</v>
      </c>
      <c r="AH13" s="37"/>
      <c r="AI13" s="110"/>
      <c r="AJ13" s="87">
        <f t="shared" si="10"/>
        <v>0</v>
      </c>
      <c r="AK13" s="37"/>
      <c r="AL13" s="39">
        <f t="shared" si="14"/>
        <v>1103477.04</v>
      </c>
      <c r="AM13" s="37"/>
      <c r="AN13" s="59">
        <f>ROUND((AL13/AL$17),4)</f>
        <v>6.0100000000000001E-2</v>
      </c>
      <c r="AO13" s="44">
        <f t="shared" si="12"/>
        <v>337966</v>
      </c>
      <c r="AP13" s="37"/>
      <c r="AQ13" s="37"/>
      <c r="AR13" s="37"/>
      <c r="AS13" s="37"/>
    </row>
    <row r="14" spans="1:45" ht="15" x14ac:dyDescent="0.25">
      <c r="A14" s="37" t="s">
        <v>18</v>
      </c>
      <c r="B14" s="36">
        <v>444807.06</v>
      </c>
      <c r="C14" s="87">
        <f t="shared" si="0"/>
        <v>8.1334686581092525E-2</v>
      </c>
      <c r="D14" s="37"/>
      <c r="E14" s="43">
        <v>913514.4</v>
      </c>
      <c r="F14" s="87">
        <f t="shared" si="1"/>
        <v>0.10844861525321339</v>
      </c>
      <c r="G14" s="37"/>
      <c r="H14" s="62">
        <v>365418.76000000007</v>
      </c>
      <c r="I14" s="87">
        <f t="shared" si="2"/>
        <v>6.6717392651931565E-2</v>
      </c>
      <c r="J14" s="37"/>
      <c r="K14" s="68">
        <v>91157.46</v>
      </c>
      <c r="L14" s="87">
        <f t="shared" si="3"/>
        <v>1.3182406423459508E-2</v>
      </c>
      <c r="M14" s="37"/>
      <c r="N14" s="82">
        <v>1398641.9100000006</v>
      </c>
      <c r="O14" s="87">
        <f t="shared" si="4"/>
        <v>0.1613814407385063</v>
      </c>
      <c r="P14" s="37"/>
      <c r="Q14" s="84">
        <v>197522.87999999998</v>
      </c>
      <c r="R14" s="87">
        <f t="shared" si="5"/>
        <v>4.0370766565154557E-2</v>
      </c>
      <c r="S14" s="37"/>
      <c r="T14" s="62">
        <v>147488.29999999999</v>
      </c>
      <c r="U14" s="87">
        <f t="shared" si="6"/>
        <v>5.2529787544744987E-2</v>
      </c>
      <c r="V14" s="37"/>
      <c r="W14" s="84">
        <v>471510.62999999995</v>
      </c>
      <c r="X14" s="87">
        <f t="shared" si="7"/>
        <v>0.14811304496699251</v>
      </c>
      <c r="Y14" s="37"/>
      <c r="Z14" s="84">
        <v>945427.12999999977</v>
      </c>
      <c r="AA14" s="87">
        <f t="shared" si="8"/>
        <v>0.13295017678160639</v>
      </c>
      <c r="AB14" s="37"/>
      <c r="AC14" s="110">
        <v>712433.29</v>
      </c>
      <c r="AD14" s="87">
        <f t="shared" si="15"/>
        <v>0.12744660739352562</v>
      </c>
      <c r="AE14" s="37"/>
      <c r="AF14" s="110">
        <v>343001.10000000009</v>
      </c>
      <c r="AG14" s="87">
        <f t="shared" si="9"/>
        <v>3.8860565380484574E-2</v>
      </c>
      <c r="AH14" s="37"/>
      <c r="AI14" s="110"/>
      <c r="AJ14" s="87">
        <f t="shared" si="10"/>
        <v>0</v>
      </c>
      <c r="AK14" s="37"/>
      <c r="AL14" s="39">
        <f t="shared" si="14"/>
        <v>1055434.3900000001</v>
      </c>
      <c r="AM14" s="37"/>
      <c r="AN14" s="59">
        <f>ROUND((AL14/AL$17),4)</f>
        <v>5.7500000000000002E-2</v>
      </c>
      <c r="AO14" s="44">
        <f t="shared" si="12"/>
        <v>323345</v>
      </c>
      <c r="AP14" s="37"/>
      <c r="AQ14" s="37"/>
      <c r="AR14" s="37"/>
      <c r="AS14" s="37"/>
    </row>
    <row r="15" spans="1:45" ht="15" x14ac:dyDescent="0.25">
      <c r="A15" s="37" t="s">
        <v>29</v>
      </c>
      <c r="B15" s="36">
        <v>2022760.96</v>
      </c>
      <c r="C15" s="87">
        <f t="shared" si="0"/>
        <v>0.36986964350356716</v>
      </c>
      <c r="D15" s="37"/>
      <c r="E15" s="43">
        <v>2933378.83</v>
      </c>
      <c r="F15" s="87">
        <f t="shared" si="1"/>
        <v>0.34823848658170165</v>
      </c>
      <c r="G15" s="37"/>
      <c r="H15" s="62">
        <v>704037.94999999984</v>
      </c>
      <c r="I15" s="87">
        <f t="shared" si="2"/>
        <v>0.12854177588477106</v>
      </c>
      <c r="J15" s="37"/>
      <c r="K15" s="68">
        <v>1042430.18</v>
      </c>
      <c r="L15" s="87">
        <f t="shared" si="3"/>
        <v>0.15074727072079508</v>
      </c>
      <c r="M15" s="37"/>
      <c r="N15" s="82">
        <v>1594637.2000000002</v>
      </c>
      <c r="O15" s="87">
        <f t="shared" si="4"/>
        <v>0.18399623731510917</v>
      </c>
      <c r="P15" s="37"/>
      <c r="Q15" s="84">
        <v>882829.03</v>
      </c>
      <c r="R15" s="87">
        <f t="shared" si="5"/>
        <v>0.18043724700182501</v>
      </c>
      <c r="S15" s="37"/>
      <c r="T15" s="62">
        <v>778328.34000000008</v>
      </c>
      <c r="U15" s="87">
        <f t="shared" si="6"/>
        <v>0.27721129296529995</v>
      </c>
      <c r="V15" s="37"/>
      <c r="W15" s="84">
        <v>923969.02999999991</v>
      </c>
      <c r="X15" s="87">
        <f t="shared" si="7"/>
        <v>0.29024131754675064</v>
      </c>
      <c r="Y15" s="37"/>
      <c r="Z15" s="62">
        <v>1925681.13</v>
      </c>
      <c r="AA15" s="87">
        <f t="shared" si="8"/>
        <v>0.27079786324568833</v>
      </c>
      <c r="AB15" s="37"/>
      <c r="AC15" s="110">
        <v>699825.80999999994</v>
      </c>
      <c r="AD15" s="87">
        <f t="shared" si="15"/>
        <v>0.12519126562842964</v>
      </c>
      <c r="AE15" s="37"/>
      <c r="AF15" s="110">
        <v>3611028.0900000017</v>
      </c>
      <c r="AG15" s="87">
        <f t="shared" si="9"/>
        <v>0.40911411999031888</v>
      </c>
      <c r="AH15" s="37"/>
      <c r="AI15" s="110"/>
      <c r="AJ15" s="87">
        <f t="shared" si="10"/>
        <v>0</v>
      </c>
      <c r="AK15" s="37"/>
      <c r="AL15" s="39">
        <f>Z15+AC15+AF15</f>
        <v>6236535.0300000012</v>
      </c>
      <c r="AM15" s="37"/>
      <c r="AN15" s="59">
        <f>ROUND((AL15/AL$17),4)</f>
        <v>0.33989999999999998</v>
      </c>
      <c r="AO15" s="44">
        <f>AO19-SUM(AO4:AO14)</f>
        <v>1910825</v>
      </c>
      <c r="AP15" s="37"/>
      <c r="AQ15" s="37"/>
      <c r="AR15" s="37"/>
      <c r="AS15" s="37"/>
    </row>
    <row r="16" spans="1:45" x14ac:dyDescent="0.2">
      <c r="A16" s="37"/>
      <c r="B16" s="38"/>
      <c r="C16" s="38"/>
      <c r="D16" s="37"/>
      <c r="E16" s="38"/>
      <c r="F16" s="38"/>
      <c r="G16" s="37"/>
      <c r="H16" s="38"/>
      <c r="I16" s="38"/>
      <c r="J16" s="37"/>
      <c r="K16" s="37"/>
      <c r="L16" s="37"/>
      <c r="M16" s="37"/>
      <c r="N16" s="38"/>
      <c r="O16" s="38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8"/>
      <c r="AG16" s="38"/>
      <c r="AH16" s="37"/>
      <c r="AI16" s="38"/>
      <c r="AJ16" s="38"/>
      <c r="AK16" s="37"/>
      <c r="AL16" s="37"/>
      <c r="AM16" s="37"/>
      <c r="AN16" s="37"/>
      <c r="AO16" s="44"/>
      <c r="AP16" s="37"/>
      <c r="AQ16" s="37"/>
      <c r="AR16" s="37"/>
      <c r="AS16" s="37"/>
    </row>
    <row r="17" spans="1:45" x14ac:dyDescent="0.2">
      <c r="A17" s="37"/>
      <c r="B17" s="38">
        <f>SUM(B4:B16)</f>
        <v>5468848.2699999996</v>
      </c>
      <c r="C17" s="38"/>
      <c r="D17" s="37"/>
      <c r="E17" s="38">
        <f>SUM(E4:E16)</f>
        <v>8423476.8500000015</v>
      </c>
      <c r="F17" s="38"/>
      <c r="G17" s="37"/>
      <c r="H17" s="38">
        <f>SUM(H4:H16)</f>
        <v>5477113.9199999999</v>
      </c>
      <c r="I17" s="38"/>
      <c r="J17" s="37"/>
      <c r="K17" s="38">
        <f>SUM(K4:K16)</f>
        <v>6915084.9299999978</v>
      </c>
      <c r="L17" s="38"/>
      <c r="M17" s="37"/>
      <c r="N17" s="38">
        <f>SUM(N4:N16)</f>
        <v>8666683.75</v>
      </c>
      <c r="O17" s="38"/>
      <c r="P17" s="37"/>
      <c r="Q17" s="38">
        <f>SUM(Q4:Q16)</f>
        <v>4892720.57</v>
      </c>
      <c r="R17" s="38"/>
      <c r="S17" s="37"/>
      <c r="T17" s="39">
        <f>SUM(T4:T16)</f>
        <v>2807707.91</v>
      </c>
      <c r="U17" s="39"/>
      <c r="V17" s="37"/>
      <c r="W17" s="38">
        <f>SUM(W4:W16)</f>
        <v>3183451.06</v>
      </c>
      <c r="X17" s="38"/>
      <c r="Y17" s="37"/>
      <c r="Z17" s="39">
        <f>SUM(Z4:Z16)</f>
        <v>7111138.5700000003</v>
      </c>
      <c r="AA17" s="39"/>
      <c r="AB17" s="37"/>
      <c r="AC17" s="39">
        <f>SUM(AC4:AC16)</f>
        <v>5590053</v>
      </c>
      <c r="AD17" s="37"/>
      <c r="AE17" s="37"/>
      <c r="AF17" s="38">
        <f>SUM(AF4:AF16)</f>
        <v>8826456.7600000016</v>
      </c>
      <c r="AG17" s="38"/>
      <c r="AH17" s="37"/>
      <c r="AI17" s="38">
        <f>SUM(AI4:AI16)</f>
        <v>2003980.0499999998</v>
      </c>
      <c r="AJ17" s="38"/>
      <c r="AK17" s="37"/>
      <c r="AL17" s="38">
        <f>SUM(AL4:AL16)</f>
        <v>18346170.940000005</v>
      </c>
      <c r="AM17" s="37"/>
      <c r="AN17" s="37">
        <f>SUM(AN4:AN16)</f>
        <v>1.0001</v>
      </c>
      <c r="AO17" s="44">
        <f>SUM(AO4:AO16)</f>
        <v>5623389</v>
      </c>
      <c r="AP17" s="37" t="s">
        <v>177</v>
      </c>
      <c r="AQ17" s="37"/>
      <c r="AR17" s="37"/>
      <c r="AS17" s="37"/>
    </row>
    <row r="18" spans="1:45" x14ac:dyDescent="0.2"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8"/>
      <c r="U18" s="38"/>
      <c r="V18" s="37"/>
      <c r="W18" s="37"/>
      <c r="X18" s="37"/>
      <c r="Y18" s="37"/>
      <c r="Z18" s="38"/>
      <c r="AA18" s="38"/>
      <c r="AB18" s="37"/>
      <c r="AC18" s="38"/>
      <c r="AD18" s="38"/>
      <c r="AE18" s="37"/>
      <c r="AF18" s="38"/>
      <c r="AG18" s="38"/>
      <c r="AH18" s="37"/>
      <c r="AI18" s="37"/>
      <c r="AJ18" s="37"/>
      <c r="AK18" s="37"/>
      <c r="AL18" s="37"/>
      <c r="AM18" s="37"/>
      <c r="AN18" s="37"/>
      <c r="AO18" s="44"/>
      <c r="AP18" s="37"/>
      <c r="AQ18" s="37"/>
      <c r="AR18" s="37"/>
      <c r="AS18" s="37"/>
    </row>
    <row r="19" spans="1:45" x14ac:dyDescent="0.2"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8"/>
      <c r="U19" s="38"/>
      <c r="V19" s="37"/>
      <c r="W19" s="37"/>
      <c r="X19" s="37"/>
      <c r="Y19" s="37"/>
      <c r="Z19" s="38"/>
      <c r="AA19" s="38"/>
      <c r="AB19" s="37"/>
      <c r="AC19" s="38"/>
      <c r="AD19" s="38"/>
      <c r="AE19" s="37"/>
      <c r="AF19" s="38"/>
      <c r="AG19" s="38"/>
      <c r="AH19" s="37"/>
      <c r="AI19" s="37"/>
      <c r="AJ19" s="37"/>
      <c r="AK19" s="37"/>
      <c r="AL19" s="37"/>
      <c r="AM19" s="37"/>
      <c r="AN19" s="37"/>
      <c r="AO19" s="44">
        <v>5623389</v>
      </c>
      <c r="AP19" s="37"/>
      <c r="AQ19" s="37"/>
      <c r="AR19" s="37"/>
      <c r="AS19" s="37"/>
    </row>
    <row r="20" spans="1:45" x14ac:dyDescent="0.2"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8"/>
      <c r="U20" s="38"/>
      <c r="V20" s="37"/>
      <c r="W20" s="37"/>
      <c r="X20" s="37"/>
      <c r="Y20" s="37"/>
      <c r="Z20" s="38"/>
      <c r="AA20" s="38"/>
      <c r="AB20" s="37"/>
      <c r="AC20" s="38"/>
      <c r="AD20" s="38"/>
      <c r="AE20" s="37"/>
      <c r="AF20" s="38"/>
      <c r="AG20" s="38"/>
      <c r="AH20" s="37"/>
      <c r="AI20" s="37"/>
      <c r="AJ20" s="37"/>
      <c r="AK20" s="37"/>
      <c r="AL20" s="37"/>
      <c r="AM20" s="37"/>
      <c r="AN20" s="37"/>
      <c r="AO20" s="44"/>
      <c r="AP20" s="37"/>
      <c r="AQ20" s="37"/>
      <c r="AR20" s="37"/>
      <c r="AS20" s="37"/>
    </row>
    <row r="21" spans="1:45" x14ac:dyDescent="0.2"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8"/>
      <c r="U21" s="38"/>
      <c r="V21" s="37"/>
      <c r="W21" s="37"/>
      <c r="X21" s="37"/>
      <c r="Y21" s="37"/>
      <c r="Z21" s="38"/>
      <c r="AA21" s="38"/>
      <c r="AB21" s="37"/>
      <c r="AC21" s="38"/>
      <c r="AD21" s="38"/>
      <c r="AE21" s="37"/>
      <c r="AF21" s="38"/>
      <c r="AG21" s="38"/>
      <c r="AH21" s="37"/>
      <c r="AI21" s="37"/>
      <c r="AJ21" s="37"/>
      <c r="AK21" s="37"/>
      <c r="AL21" s="37"/>
      <c r="AM21" s="37"/>
      <c r="AN21" s="37"/>
      <c r="AO21" s="44"/>
      <c r="AP21" s="37"/>
      <c r="AQ21" s="37"/>
      <c r="AR21" s="37"/>
      <c r="AS21" s="37"/>
    </row>
    <row r="22" spans="1:45" x14ac:dyDescent="0.2"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8"/>
      <c r="U22" s="38"/>
      <c r="V22" s="37"/>
      <c r="W22" s="37"/>
      <c r="X22" s="37"/>
      <c r="Y22" s="37"/>
      <c r="Z22" s="38"/>
      <c r="AA22" s="38"/>
      <c r="AB22" s="37"/>
      <c r="AC22" s="38"/>
      <c r="AD22" s="38"/>
      <c r="AE22" s="37"/>
      <c r="AF22" s="38"/>
      <c r="AG22" s="38"/>
      <c r="AH22" s="37"/>
      <c r="AI22" s="37"/>
      <c r="AJ22" s="37"/>
      <c r="AK22" s="37"/>
      <c r="AL22" s="37"/>
      <c r="AM22" s="37"/>
      <c r="AN22" s="37"/>
      <c r="AO22" s="44"/>
      <c r="AP22" s="37"/>
      <c r="AQ22" s="37"/>
      <c r="AR22" s="37"/>
      <c r="AS22" s="37"/>
    </row>
    <row r="23" spans="1:45" x14ac:dyDescent="0.2"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8"/>
      <c r="U23" s="38"/>
      <c r="V23" s="37"/>
      <c r="W23" s="37"/>
      <c r="X23" s="37"/>
      <c r="Y23" s="37"/>
      <c r="Z23" s="38"/>
      <c r="AA23" s="38"/>
      <c r="AB23" s="37"/>
      <c r="AC23" s="38"/>
      <c r="AD23" s="38"/>
      <c r="AE23" s="37"/>
      <c r="AF23" s="38"/>
      <c r="AG23" s="38"/>
      <c r="AH23" s="37"/>
      <c r="AI23" s="37"/>
      <c r="AJ23" s="37"/>
      <c r="AK23" s="37"/>
      <c r="AL23" s="37"/>
      <c r="AM23" s="37"/>
      <c r="AN23" s="37"/>
      <c r="AO23" s="44"/>
      <c r="AP23" s="37"/>
      <c r="AQ23" s="37"/>
      <c r="AR23" s="37"/>
      <c r="AS23" s="37"/>
    </row>
    <row r="24" spans="1:45" x14ac:dyDescent="0.2"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8"/>
      <c r="U24" s="38"/>
      <c r="V24" s="37"/>
      <c r="W24" s="37"/>
      <c r="X24" s="37"/>
      <c r="Y24" s="37"/>
      <c r="Z24" s="38"/>
      <c r="AA24" s="38"/>
      <c r="AB24" s="37"/>
      <c r="AC24" s="38"/>
      <c r="AD24" s="38"/>
      <c r="AE24" s="37"/>
      <c r="AF24" s="38"/>
      <c r="AG24" s="38"/>
      <c r="AH24" s="37"/>
      <c r="AI24" s="37"/>
      <c r="AJ24" s="37"/>
      <c r="AK24" s="37"/>
      <c r="AL24" s="37"/>
      <c r="AM24" s="105">
        <f>AO4</f>
        <v>246867</v>
      </c>
      <c r="AN24" s="105">
        <f>AO5</f>
        <v>560090</v>
      </c>
      <c r="AO24" s="44">
        <f>AO6</f>
        <v>167577</v>
      </c>
      <c r="AP24" s="105">
        <f>AO7</f>
        <v>206941</v>
      </c>
      <c r="AQ24" s="37"/>
      <c r="AR24" s="37"/>
      <c r="AS24" s="37"/>
    </row>
    <row r="25" spans="1:45" x14ac:dyDescent="0.2"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8"/>
      <c r="U25" s="38"/>
      <c r="V25" s="37"/>
      <c r="W25" s="37"/>
      <c r="X25" s="37"/>
      <c r="Y25" s="37"/>
      <c r="Z25" s="38"/>
      <c r="AA25" s="38"/>
      <c r="AB25" s="37"/>
      <c r="AC25" s="38"/>
      <c r="AD25" s="38"/>
      <c r="AE25" s="37"/>
      <c r="AF25" s="38"/>
      <c r="AG25" s="38"/>
      <c r="AH25" s="37"/>
      <c r="AI25" s="37"/>
      <c r="AJ25" s="37"/>
      <c r="AK25" s="37"/>
      <c r="AL25" s="37"/>
      <c r="AM25" s="105">
        <f>AO8</f>
        <v>465617</v>
      </c>
      <c r="AN25" s="105">
        <f>AO9</f>
        <v>264299</v>
      </c>
      <c r="AO25" s="44">
        <f>AO10</f>
        <v>456057</v>
      </c>
      <c r="AP25" s="105">
        <f>AO11</f>
        <v>160267</v>
      </c>
      <c r="AQ25" s="37"/>
      <c r="AR25" s="37"/>
      <c r="AS25" s="37"/>
    </row>
    <row r="26" spans="1:45" x14ac:dyDescent="0.2"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8"/>
      <c r="U26" s="38"/>
      <c r="V26" s="37"/>
      <c r="W26" s="37"/>
      <c r="X26" s="37"/>
      <c r="Y26" s="37"/>
      <c r="Z26" s="38"/>
      <c r="AA26" s="38"/>
      <c r="AB26" s="37"/>
      <c r="AC26" s="38"/>
      <c r="AD26" s="38"/>
      <c r="AE26" s="37"/>
      <c r="AF26" s="38"/>
      <c r="AG26" s="38"/>
      <c r="AH26" s="37"/>
      <c r="AI26" s="37"/>
      <c r="AJ26" s="37"/>
      <c r="AK26" s="37"/>
      <c r="AL26" s="37"/>
      <c r="AM26" s="105">
        <f>AO12</f>
        <v>523538</v>
      </c>
      <c r="AN26" s="105">
        <f>AO13</f>
        <v>337966</v>
      </c>
      <c r="AO26" s="44">
        <f>AO14</f>
        <v>323345</v>
      </c>
      <c r="AP26" s="105">
        <f>AO15</f>
        <v>1910825</v>
      </c>
      <c r="AQ26" s="37"/>
      <c r="AR26" s="37"/>
      <c r="AS26" s="37"/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0"/>
  <sheetViews>
    <sheetView workbookViewId="0">
      <selection activeCell="A24" sqref="A24"/>
    </sheetView>
  </sheetViews>
  <sheetFormatPr defaultRowHeight="12.75" x14ac:dyDescent="0.2"/>
  <cols>
    <col min="2" max="2" width="10.28515625" bestFit="1" customWidth="1"/>
    <col min="3" max="14" width="14" bestFit="1" customWidth="1"/>
    <col min="15" max="15" width="15" bestFit="1" customWidth="1"/>
  </cols>
  <sheetData>
    <row r="2" spans="1:15" x14ac:dyDescent="0.2">
      <c r="B2" t="s">
        <v>167</v>
      </c>
    </row>
    <row r="3" spans="1:15" x14ac:dyDescent="0.2">
      <c r="C3" s="17" t="s">
        <v>17</v>
      </c>
      <c r="D3" s="17" t="s">
        <v>114</v>
      </c>
      <c r="E3" s="17" t="s">
        <v>119</v>
      </c>
      <c r="F3" s="17" t="s">
        <v>115</v>
      </c>
      <c r="G3" s="17" t="s">
        <v>116</v>
      </c>
      <c r="H3" s="17" t="s">
        <v>117</v>
      </c>
      <c r="I3" s="17" t="s">
        <v>118</v>
      </c>
      <c r="J3" s="17" t="s">
        <v>120</v>
      </c>
      <c r="K3" s="17" t="s">
        <v>137</v>
      </c>
      <c r="L3" s="17" t="s">
        <v>142</v>
      </c>
      <c r="M3" s="17" t="s">
        <v>18</v>
      </c>
      <c r="N3" s="17" t="s">
        <v>29</v>
      </c>
      <c r="O3" s="17"/>
    </row>
    <row r="4" spans="1:15" x14ac:dyDescent="0.2">
      <c r="A4" s="77"/>
      <c r="B4" t="s">
        <v>143</v>
      </c>
      <c r="C4" s="17">
        <v>2</v>
      </c>
      <c r="D4" s="17">
        <v>2</v>
      </c>
      <c r="E4" s="17">
        <v>2</v>
      </c>
      <c r="F4" s="17">
        <v>3</v>
      </c>
      <c r="G4" s="17">
        <v>2</v>
      </c>
      <c r="H4" s="17">
        <v>2</v>
      </c>
      <c r="I4" s="17">
        <v>2</v>
      </c>
      <c r="J4" s="17">
        <v>2</v>
      </c>
      <c r="K4" s="17">
        <v>2</v>
      </c>
      <c r="L4" s="17">
        <v>2</v>
      </c>
      <c r="M4" s="17">
        <v>3</v>
      </c>
      <c r="N4" s="17">
        <v>2</v>
      </c>
      <c r="O4" s="17">
        <f>SUM(C4:N4)</f>
        <v>26</v>
      </c>
    </row>
    <row r="5" spans="1:15" x14ac:dyDescent="0.2">
      <c r="A5" s="77"/>
      <c r="B5" t="s">
        <v>144</v>
      </c>
      <c r="C5" s="17">
        <f>C4*80</f>
        <v>160</v>
      </c>
      <c r="D5" s="17">
        <f t="shared" ref="D5:N5" si="0">D4*80</f>
        <v>160</v>
      </c>
      <c r="E5" s="17">
        <f t="shared" si="0"/>
        <v>160</v>
      </c>
      <c r="F5" s="17">
        <f t="shared" si="0"/>
        <v>240</v>
      </c>
      <c r="G5" s="17">
        <f t="shared" si="0"/>
        <v>160</v>
      </c>
      <c r="H5" s="17">
        <f t="shared" si="0"/>
        <v>160</v>
      </c>
      <c r="I5" s="17">
        <f t="shared" si="0"/>
        <v>160</v>
      </c>
      <c r="J5" s="17">
        <f t="shared" si="0"/>
        <v>160</v>
      </c>
      <c r="K5" s="17">
        <f t="shared" si="0"/>
        <v>160</v>
      </c>
      <c r="L5" s="17">
        <f t="shared" si="0"/>
        <v>160</v>
      </c>
      <c r="M5" s="17">
        <f t="shared" si="0"/>
        <v>240</v>
      </c>
      <c r="N5" s="17">
        <f t="shared" si="0"/>
        <v>160</v>
      </c>
      <c r="O5" s="17">
        <f>SUM(C5:N5)</f>
        <v>2080</v>
      </c>
    </row>
    <row r="6" spans="1:15" x14ac:dyDescent="0.2">
      <c r="A6" s="77"/>
      <c r="B6" t="s">
        <v>145</v>
      </c>
      <c r="C6" s="9">
        <f>ROUND((C5/$O5),5)</f>
        <v>7.6920000000000002E-2</v>
      </c>
      <c r="D6" s="9">
        <f>ROUND((D5/$O5),5)+0.00001</f>
        <v>7.6929999999999998E-2</v>
      </c>
      <c r="E6" s="9">
        <f t="shared" ref="E6:N6" si="1">ROUND((E5/$O5),5)</f>
        <v>7.6920000000000002E-2</v>
      </c>
      <c r="F6" s="9">
        <f t="shared" si="1"/>
        <v>0.11538</v>
      </c>
      <c r="G6" s="9">
        <f>ROUND((G5/$O5),5)+0.00001</f>
        <v>7.6929999999999998E-2</v>
      </c>
      <c r="H6" s="9">
        <f t="shared" si="1"/>
        <v>7.6920000000000002E-2</v>
      </c>
      <c r="I6" s="9">
        <f t="shared" si="1"/>
        <v>7.6920000000000002E-2</v>
      </c>
      <c r="J6" s="9">
        <f>ROUND((J5/$O5),5)+0.00001</f>
        <v>7.6929999999999998E-2</v>
      </c>
      <c r="K6" s="9">
        <f t="shared" si="1"/>
        <v>7.6920000000000002E-2</v>
      </c>
      <c r="L6" s="9">
        <f t="shared" si="1"/>
        <v>7.6920000000000002E-2</v>
      </c>
      <c r="M6" s="9">
        <f>ROUND((M5/$O5),5)+0.00001</f>
        <v>0.11538999999999999</v>
      </c>
      <c r="N6" s="9">
        <f t="shared" si="1"/>
        <v>7.6920000000000002E-2</v>
      </c>
      <c r="O6" s="17">
        <f>SUM(C6:N6)</f>
        <v>1</v>
      </c>
    </row>
    <row r="7" spans="1:15" x14ac:dyDescent="0.2">
      <c r="C7" s="12">
        <f>C6</f>
        <v>7.6920000000000002E-2</v>
      </c>
      <c r="D7" s="12">
        <f>D6+C7</f>
        <v>0.15384999999999999</v>
      </c>
      <c r="E7" s="12">
        <f t="shared" ref="E7:N7" si="2">E6+D7</f>
        <v>0.23076999999999998</v>
      </c>
      <c r="F7" s="12">
        <f t="shared" si="2"/>
        <v>0.34614999999999996</v>
      </c>
      <c r="G7" s="12">
        <f t="shared" si="2"/>
        <v>0.42307999999999996</v>
      </c>
      <c r="H7" s="12">
        <f t="shared" si="2"/>
        <v>0.49999999999999994</v>
      </c>
      <c r="I7" s="12">
        <f t="shared" si="2"/>
        <v>0.57691999999999999</v>
      </c>
      <c r="J7" s="12">
        <f t="shared" si="2"/>
        <v>0.65385000000000004</v>
      </c>
      <c r="K7" s="12">
        <f t="shared" si="2"/>
        <v>0.73077000000000003</v>
      </c>
      <c r="L7" s="12">
        <f t="shared" si="2"/>
        <v>0.80769000000000002</v>
      </c>
      <c r="M7" s="12">
        <f t="shared" si="2"/>
        <v>0.92308000000000001</v>
      </c>
      <c r="N7" s="12">
        <f t="shared" si="2"/>
        <v>1</v>
      </c>
      <c r="O7" s="17"/>
    </row>
    <row r="8" spans="1:15" x14ac:dyDescent="0.2"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x14ac:dyDescent="0.2">
      <c r="A9" s="77"/>
      <c r="C9" s="41">
        <v>7.5170000000000001E-2</v>
      </c>
      <c r="D9" s="41">
        <v>7.485E-2</v>
      </c>
      <c r="E9" s="41">
        <v>7.4749999999999997E-2</v>
      </c>
      <c r="F9" s="41">
        <v>0.11305999999999999</v>
      </c>
      <c r="G9" s="41">
        <v>8.2320000000000004E-2</v>
      </c>
      <c r="H9" s="41">
        <v>7.5840000000000005E-2</v>
      </c>
      <c r="I9" s="41">
        <v>7.689E-2</v>
      </c>
      <c r="J9" s="41">
        <v>7.6369999999999993E-2</v>
      </c>
      <c r="K9" s="41">
        <v>7.6679999999999998E-2</v>
      </c>
      <c r="L9" s="41">
        <v>7.6369999999999993E-2</v>
      </c>
      <c r="M9" s="41">
        <v>0.12111</v>
      </c>
      <c r="N9" s="41">
        <v>7.6590000000000005E-2</v>
      </c>
      <c r="O9" s="17">
        <f>SUM(C9:N9)</f>
        <v>0.99999999999999989</v>
      </c>
    </row>
    <row r="10" spans="1:15" x14ac:dyDescent="0.2">
      <c r="C10" s="12">
        <f>C9</f>
        <v>7.5170000000000001E-2</v>
      </c>
      <c r="D10" s="12">
        <f t="shared" ref="D10:N10" si="3">D9+C10</f>
        <v>0.15001999999999999</v>
      </c>
      <c r="E10" s="12">
        <f t="shared" si="3"/>
        <v>0.22476999999999997</v>
      </c>
      <c r="F10" s="12">
        <f t="shared" si="3"/>
        <v>0.33782999999999996</v>
      </c>
      <c r="G10" s="12">
        <f t="shared" si="3"/>
        <v>0.42014999999999997</v>
      </c>
      <c r="H10" s="12">
        <f t="shared" si="3"/>
        <v>0.49598999999999999</v>
      </c>
      <c r="I10" s="12">
        <f t="shared" si="3"/>
        <v>0.57287999999999994</v>
      </c>
      <c r="J10" s="12">
        <f t="shared" si="3"/>
        <v>0.64924999999999988</v>
      </c>
      <c r="K10" s="12">
        <f t="shared" si="3"/>
        <v>0.72592999999999985</v>
      </c>
      <c r="L10" s="12">
        <f t="shared" si="3"/>
        <v>0.80229999999999979</v>
      </c>
      <c r="M10" s="12">
        <f t="shared" si="3"/>
        <v>0.92340999999999984</v>
      </c>
      <c r="N10" s="12">
        <f t="shared" si="3"/>
        <v>0.99999999999999989</v>
      </c>
      <c r="O10" s="17"/>
    </row>
    <row r="11" spans="1:15" x14ac:dyDescent="0.2"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x14ac:dyDescent="0.2">
      <c r="C12" s="12">
        <f>C7-C10</f>
        <v>1.7500000000000016E-3</v>
      </c>
      <c r="D12" s="12">
        <f t="shared" ref="D12:N12" si="4">D7-D10</f>
        <v>3.8300000000000001E-3</v>
      </c>
      <c r="E12" s="12">
        <f t="shared" si="4"/>
        <v>6.0000000000000053E-3</v>
      </c>
      <c r="F12" s="12">
        <f t="shared" si="4"/>
        <v>8.3199999999999941E-3</v>
      </c>
      <c r="G12" s="12">
        <f t="shared" si="4"/>
        <v>2.9299999999999882E-3</v>
      </c>
      <c r="H12" s="12">
        <f t="shared" si="4"/>
        <v>4.009999999999958E-3</v>
      </c>
      <c r="I12" s="12">
        <f t="shared" si="4"/>
        <v>4.0400000000000436E-3</v>
      </c>
      <c r="J12" s="12">
        <f t="shared" si="4"/>
        <v>4.6000000000001595E-3</v>
      </c>
      <c r="K12" s="12">
        <f t="shared" si="4"/>
        <v>4.8400000000001775E-3</v>
      </c>
      <c r="L12" s="12">
        <f t="shared" si="4"/>
        <v>5.3900000000002279E-3</v>
      </c>
      <c r="M12" s="12">
        <f t="shared" si="4"/>
        <v>-3.2999999999983043E-4</v>
      </c>
      <c r="N12" s="12">
        <f t="shared" si="4"/>
        <v>0</v>
      </c>
      <c r="O12" s="17"/>
    </row>
    <row r="13" spans="1:15" x14ac:dyDescent="0.2"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17"/>
    </row>
    <row r="14" spans="1:15" x14ac:dyDescent="0.2">
      <c r="C14" s="17">
        <f>ROUND(($O20*C9),2)</f>
        <v>10122302</v>
      </c>
      <c r="D14" s="17">
        <f t="shared" ref="D14:M14" si="5">ROUND(($O20*D9),2)</f>
        <v>10079211.18</v>
      </c>
      <c r="E14" s="17">
        <f t="shared" si="5"/>
        <v>10065745.300000001</v>
      </c>
      <c r="F14" s="17">
        <f t="shared" si="5"/>
        <v>15224523.93</v>
      </c>
      <c r="G14" s="17">
        <f t="shared" si="5"/>
        <v>11085112.42</v>
      </c>
      <c r="H14" s="17">
        <f t="shared" si="5"/>
        <v>10212523.390000001</v>
      </c>
      <c r="I14" s="17">
        <f t="shared" si="5"/>
        <v>10353915.130000001</v>
      </c>
      <c r="J14" s="17">
        <f t="shared" si="5"/>
        <v>10283892.560000001</v>
      </c>
      <c r="K14" s="17">
        <f t="shared" si="5"/>
        <v>10325636.779999999</v>
      </c>
      <c r="L14" s="17">
        <f t="shared" si="5"/>
        <v>10283892.560000001</v>
      </c>
      <c r="M14" s="17">
        <f t="shared" si="5"/>
        <v>16308527.27</v>
      </c>
      <c r="N14" s="13"/>
      <c r="O14" s="17"/>
    </row>
    <row r="15" spans="1:15" x14ac:dyDescent="0.2">
      <c r="C15" s="7">
        <f t="shared" ref="C15:I15" si="6">C14-C20</f>
        <v>-314769.00000000186</v>
      </c>
      <c r="D15" s="7">
        <f t="shared" si="6"/>
        <v>-280090.36999999918</v>
      </c>
      <c r="E15" s="7">
        <f t="shared" si="6"/>
        <v>-292209.6400000006</v>
      </c>
      <c r="F15" s="7">
        <f t="shared" si="6"/>
        <v>4866568.9899999984</v>
      </c>
      <c r="G15" s="7">
        <f t="shared" si="6"/>
        <v>725810.87000000104</v>
      </c>
      <c r="H15" s="7">
        <f t="shared" si="6"/>
        <v>-5245292.8800000194</v>
      </c>
      <c r="I15" s="7">
        <f t="shared" si="6"/>
        <v>-4039.8100000005215</v>
      </c>
      <c r="J15" s="17"/>
      <c r="K15" s="17"/>
      <c r="L15" s="17"/>
      <c r="M15" s="17"/>
      <c r="N15" s="17"/>
      <c r="O15" s="17"/>
    </row>
    <row r="16" spans="1:15" x14ac:dyDescent="0.2">
      <c r="C16" s="7"/>
      <c r="D16" s="7">
        <f>C15+D15</f>
        <v>-594859.37000000104</v>
      </c>
      <c r="E16" s="7">
        <f>D16+E15</f>
        <v>-887069.01000000164</v>
      </c>
      <c r="F16" s="7">
        <f>E16+F15</f>
        <v>3979499.9799999967</v>
      </c>
      <c r="G16" s="7">
        <f>F16+G15</f>
        <v>4705310.8499999978</v>
      </c>
      <c r="H16" s="7">
        <f>G16+H15</f>
        <v>-539982.03000002168</v>
      </c>
      <c r="I16" s="7">
        <f>H16+I15</f>
        <v>-544021.8400000222</v>
      </c>
      <c r="J16" s="17"/>
      <c r="K16" s="17"/>
      <c r="L16" s="17"/>
      <c r="M16" s="17"/>
      <c r="N16" s="17"/>
      <c r="O16" s="17"/>
    </row>
    <row r="17" spans="1:15" x14ac:dyDescent="0.2">
      <c r="C17" s="7"/>
      <c r="D17" s="7"/>
      <c r="E17" s="7"/>
      <c r="F17" s="7"/>
      <c r="G17" s="7"/>
      <c r="H17" s="7"/>
      <c r="I17" s="17"/>
      <c r="J17" s="17"/>
      <c r="K17" s="17"/>
      <c r="L17" s="17"/>
      <c r="M17" s="17"/>
      <c r="N17" s="17"/>
      <c r="O17" s="17"/>
    </row>
    <row r="18" spans="1:15" x14ac:dyDescent="0.2"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5" ht="15" x14ac:dyDescent="0.35">
      <c r="A19" s="47" t="s">
        <v>146</v>
      </c>
      <c r="B19" s="47" t="s">
        <v>147</v>
      </c>
      <c r="C19" s="49" t="s">
        <v>17</v>
      </c>
      <c r="D19" s="49" t="s">
        <v>114</v>
      </c>
      <c r="E19" s="49" t="s">
        <v>119</v>
      </c>
      <c r="F19" s="49" t="s">
        <v>115</v>
      </c>
      <c r="G19" s="49" t="s">
        <v>116</v>
      </c>
      <c r="H19" s="49" t="s">
        <v>117</v>
      </c>
      <c r="I19" s="49" t="s">
        <v>118</v>
      </c>
      <c r="J19" s="49" t="s">
        <v>120</v>
      </c>
      <c r="K19" s="49" t="s">
        <v>137</v>
      </c>
      <c r="L19" s="49" t="s">
        <v>142</v>
      </c>
      <c r="M19" s="49" t="s">
        <v>18</v>
      </c>
      <c r="N19" s="49" t="s">
        <v>29</v>
      </c>
      <c r="O19" s="48" t="s">
        <v>103</v>
      </c>
    </row>
    <row r="20" spans="1:15" x14ac:dyDescent="0.2">
      <c r="A20" s="46" t="s">
        <v>148</v>
      </c>
      <c r="B20" s="46" t="s">
        <v>149</v>
      </c>
      <c r="C20" s="36">
        <v>10437071.000000002</v>
      </c>
      <c r="D20" s="36">
        <v>10359301.549999999</v>
      </c>
      <c r="E20" s="36">
        <v>10357954.940000001</v>
      </c>
      <c r="F20" s="36">
        <v>10357954.940000001</v>
      </c>
      <c r="G20" s="36">
        <v>10359301.549999999</v>
      </c>
      <c r="H20" s="36">
        <v>15457816.27000002</v>
      </c>
      <c r="I20" s="36">
        <v>10357954.940000001</v>
      </c>
      <c r="J20" s="36">
        <v>10359301.549999999</v>
      </c>
      <c r="K20" s="36">
        <v>10357954.940000001</v>
      </c>
      <c r="L20" s="36">
        <v>10357954.940000001</v>
      </c>
      <c r="M20" s="36">
        <v>10359301.549999999</v>
      </c>
      <c r="N20" s="36">
        <v>15536931.829999994</v>
      </c>
      <c r="O20" s="17">
        <f>SUM(C20:N20)</f>
        <v>134658800</v>
      </c>
    </row>
    <row r="21" spans="1:15" x14ac:dyDescent="0.2">
      <c r="A21" s="46" t="s">
        <v>148</v>
      </c>
      <c r="B21" s="46" t="s">
        <v>150</v>
      </c>
      <c r="C21" s="36">
        <v>344343.8</v>
      </c>
      <c r="D21" s="36">
        <v>341066.85</v>
      </c>
      <c r="E21" s="36">
        <v>341022.39</v>
      </c>
      <c r="F21" s="36">
        <v>341022.39</v>
      </c>
      <c r="G21" s="36">
        <v>341476.86</v>
      </c>
      <c r="H21" s="36">
        <v>508687.44</v>
      </c>
      <c r="I21" s="36">
        <v>341572.39</v>
      </c>
      <c r="J21" s="36">
        <v>341346.86</v>
      </c>
      <c r="K21" s="36">
        <v>341162.39</v>
      </c>
      <c r="L21" s="36">
        <v>341772.4</v>
      </c>
      <c r="M21" s="36">
        <v>341816.86</v>
      </c>
      <c r="N21" s="36">
        <v>513509.37</v>
      </c>
      <c r="O21" s="17">
        <f>SUM(C21:N21)</f>
        <v>4438800</v>
      </c>
    </row>
    <row r="22" spans="1:15" x14ac:dyDescent="0.2">
      <c r="A22" s="46" t="s">
        <v>148</v>
      </c>
      <c r="B22" s="46" t="s">
        <v>151</v>
      </c>
      <c r="C22" s="36">
        <v>137694.48000000001</v>
      </c>
      <c r="D22" s="36">
        <v>137597.07</v>
      </c>
      <c r="E22" s="36">
        <v>137579.1</v>
      </c>
      <c r="F22" s="36">
        <v>137579.1</v>
      </c>
      <c r="G22" s="36">
        <v>137597.07</v>
      </c>
      <c r="H22" s="36">
        <v>206253.35</v>
      </c>
      <c r="I22" s="36">
        <v>137579.1</v>
      </c>
      <c r="J22" s="36">
        <v>137597.07</v>
      </c>
      <c r="K22" s="36">
        <v>137579.1</v>
      </c>
      <c r="L22" s="36">
        <v>137579.1</v>
      </c>
      <c r="M22" s="36">
        <v>137597.07</v>
      </c>
      <c r="N22" s="36">
        <v>206368.39</v>
      </c>
      <c r="O22" s="17">
        <f>SUM(C22:N22)</f>
        <v>1788600.0000000005</v>
      </c>
    </row>
    <row r="23" spans="1:15" x14ac:dyDescent="0.2">
      <c r="A23" s="46" t="s">
        <v>148</v>
      </c>
      <c r="B23" s="46" t="s">
        <v>152</v>
      </c>
      <c r="C23" s="36">
        <v>4650383.22</v>
      </c>
      <c r="D23" s="36">
        <v>4632847.66</v>
      </c>
      <c r="E23" s="36">
        <v>4632245.4800000004</v>
      </c>
      <c r="F23" s="36">
        <v>4632245.4800000004</v>
      </c>
      <c r="G23" s="36">
        <v>4632847.66</v>
      </c>
      <c r="H23" s="36">
        <v>6930230.560000007</v>
      </c>
      <c r="I23" s="36">
        <v>4632245.4800000004</v>
      </c>
      <c r="J23" s="36">
        <v>4632847.66</v>
      </c>
      <c r="K23" s="36">
        <v>4632245.4800000004</v>
      </c>
      <c r="L23" s="36">
        <v>4632245.4800000004</v>
      </c>
      <c r="M23" s="36">
        <v>4632847.66</v>
      </c>
      <c r="N23" s="36">
        <v>6948368.1800000062</v>
      </c>
      <c r="O23" s="17">
        <f>SUM(C23:N23)</f>
        <v>60221600.000000015</v>
      </c>
    </row>
    <row r="24" spans="1:15" x14ac:dyDescent="0.2">
      <c r="A24" s="46" t="s">
        <v>153</v>
      </c>
      <c r="B24" s="46" t="s">
        <v>152</v>
      </c>
      <c r="C24" s="36">
        <v>1869156</v>
      </c>
      <c r="D24" s="36">
        <v>1869399</v>
      </c>
      <c r="E24" s="36">
        <v>1869156</v>
      </c>
      <c r="F24" s="36">
        <v>1869156</v>
      </c>
      <c r="G24" s="36">
        <v>1869399</v>
      </c>
      <c r="H24" s="36">
        <v>2803734</v>
      </c>
      <c r="I24" s="36">
        <v>1869156</v>
      </c>
      <c r="J24" s="36">
        <v>1869399</v>
      </c>
      <c r="K24" s="36">
        <v>1869156</v>
      </c>
      <c r="L24" s="36">
        <v>1869156</v>
      </c>
      <c r="M24" s="36">
        <v>1869399</v>
      </c>
      <c r="N24" s="36">
        <v>2803734</v>
      </c>
      <c r="O24" s="17">
        <f>SUM(C24:N24)</f>
        <v>24300000</v>
      </c>
    </row>
    <row r="26" spans="1:15" x14ac:dyDescent="0.2">
      <c r="C26" s="7">
        <f>SUM(C20:C25)</f>
        <v>17438648.500000004</v>
      </c>
      <c r="D26" s="7">
        <f t="shared" ref="D26:N26" si="7">SUM(D20:D25)</f>
        <v>17340212.129999999</v>
      </c>
      <c r="E26" s="7">
        <f t="shared" si="7"/>
        <v>17337957.910000004</v>
      </c>
      <c r="F26" s="7">
        <f t="shared" si="7"/>
        <v>17337957.910000004</v>
      </c>
      <c r="G26" s="7">
        <f t="shared" si="7"/>
        <v>17340622.140000001</v>
      </c>
      <c r="H26" s="7">
        <f t="shared" si="7"/>
        <v>25906721.620000027</v>
      </c>
      <c r="I26" s="7">
        <f t="shared" si="7"/>
        <v>17338507.910000004</v>
      </c>
      <c r="J26" s="7">
        <f t="shared" si="7"/>
        <v>17340492.140000001</v>
      </c>
      <c r="K26" s="7">
        <f t="shared" si="7"/>
        <v>17338097.910000004</v>
      </c>
      <c r="L26" s="7">
        <f t="shared" si="7"/>
        <v>17338707.920000002</v>
      </c>
      <c r="M26" s="7">
        <f t="shared" si="7"/>
        <v>17340962.140000001</v>
      </c>
      <c r="N26" s="7">
        <f t="shared" si="7"/>
        <v>26008911.77</v>
      </c>
      <c r="O26" s="20">
        <f>SUM(O20:O24)</f>
        <v>225407800</v>
      </c>
    </row>
    <row r="28" spans="1:15" x14ac:dyDescent="0.2">
      <c r="C28" s="9">
        <f>C20/$O20</f>
        <v>7.7507530142849945E-2</v>
      </c>
      <c r="D28" s="9">
        <f t="shared" ref="D28:N28" si="8">D20/$O20</f>
        <v>7.6930000490127631E-2</v>
      </c>
      <c r="E28" s="9">
        <f t="shared" si="8"/>
        <v>7.6920000326751767E-2</v>
      </c>
      <c r="F28" s="9">
        <f t="shared" si="8"/>
        <v>7.6920000326751767E-2</v>
      </c>
      <c r="G28" s="9">
        <f t="shared" si="8"/>
        <v>7.6930000490127631E-2</v>
      </c>
      <c r="H28" s="9">
        <f t="shared" si="8"/>
        <v>0.11479247007993551</v>
      </c>
      <c r="I28" s="9">
        <f t="shared" si="8"/>
        <v>7.6920000326751767E-2</v>
      </c>
      <c r="J28" s="9">
        <f t="shared" si="8"/>
        <v>7.6930000490127631E-2</v>
      </c>
      <c r="K28" s="9">
        <f t="shared" si="8"/>
        <v>7.6920000326751767E-2</v>
      </c>
      <c r="L28" s="9">
        <f t="shared" si="8"/>
        <v>7.6920000326751767E-2</v>
      </c>
      <c r="M28" s="9">
        <f t="shared" si="8"/>
        <v>7.6930000490127631E-2</v>
      </c>
      <c r="N28" s="9">
        <f t="shared" si="8"/>
        <v>0.1153799961829453</v>
      </c>
    </row>
    <row r="29" spans="1:15" x14ac:dyDescent="0.2">
      <c r="C29" s="9">
        <f t="shared" ref="C29:N32" si="9">C21/$O21</f>
        <v>7.7575876362980981E-2</v>
      </c>
      <c r="D29" s="9">
        <f t="shared" si="9"/>
        <v>7.6837625033792906E-2</v>
      </c>
      <c r="E29" s="9">
        <f t="shared" si="9"/>
        <v>7.6827608813192755E-2</v>
      </c>
      <c r="F29" s="9">
        <f t="shared" si="9"/>
        <v>7.6827608813192755E-2</v>
      </c>
      <c r="G29" s="9">
        <f t="shared" si="9"/>
        <v>7.692999459313328E-2</v>
      </c>
      <c r="H29" s="9">
        <f t="shared" si="9"/>
        <v>0.11460021627466883</v>
      </c>
      <c r="I29" s="9">
        <f t="shared" si="9"/>
        <v>7.6951516175542939E-2</v>
      </c>
      <c r="J29" s="9">
        <f t="shared" si="9"/>
        <v>7.6900707398395954E-2</v>
      </c>
      <c r="K29" s="9">
        <f t="shared" si="9"/>
        <v>7.6859148869063712E-2</v>
      </c>
      <c r="L29" s="9">
        <f t="shared" si="9"/>
        <v>7.6996575651076871E-2</v>
      </c>
      <c r="M29" s="9">
        <f t="shared" si="9"/>
        <v>7.7006591871677021E-2</v>
      </c>
      <c r="N29" s="9">
        <f t="shared" si="9"/>
        <v>0.11568653014328197</v>
      </c>
    </row>
    <row r="30" spans="1:15" x14ac:dyDescent="0.2">
      <c r="C30" s="9">
        <f t="shared" si="9"/>
        <v>7.6984501845018441E-2</v>
      </c>
      <c r="D30" s="9">
        <f t="shared" si="9"/>
        <v>7.6930040254947984E-2</v>
      </c>
      <c r="E30" s="9">
        <f t="shared" si="9"/>
        <v>7.6919993290841981E-2</v>
      </c>
      <c r="F30" s="9">
        <f t="shared" si="9"/>
        <v>7.6919993290841981E-2</v>
      </c>
      <c r="G30" s="9">
        <f t="shared" si="9"/>
        <v>7.6930040254947984E-2</v>
      </c>
      <c r="H30" s="9">
        <f t="shared" si="9"/>
        <v>0.11531552610980653</v>
      </c>
      <c r="I30" s="9">
        <f t="shared" si="9"/>
        <v>7.6919993290841981E-2</v>
      </c>
      <c r="J30" s="9">
        <f t="shared" si="9"/>
        <v>7.6930040254947984E-2</v>
      </c>
      <c r="K30" s="9">
        <f t="shared" si="9"/>
        <v>7.6919993290841981E-2</v>
      </c>
      <c r="L30" s="9">
        <f t="shared" si="9"/>
        <v>7.6919993290841981E-2</v>
      </c>
      <c r="M30" s="9">
        <f t="shared" si="9"/>
        <v>7.6930040254947984E-2</v>
      </c>
      <c r="N30" s="9">
        <f t="shared" si="9"/>
        <v>0.11537984457117297</v>
      </c>
    </row>
    <row r="31" spans="1:15" x14ac:dyDescent="0.2">
      <c r="C31" s="9">
        <f t="shared" si="9"/>
        <v>7.7221183429201465E-2</v>
      </c>
      <c r="D31" s="9">
        <f t="shared" si="9"/>
        <v>7.6929999535050531E-2</v>
      </c>
      <c r="E31" s="9">
        <f t="shared" si="9"/>
        <v>7.6920000132842684E-2</v>
      </c>
      <c r="F31" s="9">
        <f t="shared" si="9"/>
        <v>7.6920000132842684E-2</v>
      </c>
      <c r="G31" s="9">
        <f t="shared" si="9"/>
        <v>7.6929999535050531E-2</v>
      </c>
      <c r="H31" s="9">
        <f t="shared" si="9"/>
        <v>0.11507881823133237</v>
      </c>
      <c r="I31" s="9">
        <f t="shared" si="9"/>
        <v>7.6920000132842684E-2</v>
      </c>
      <c r="J31" s="9">
        <f t="shared" si="9"/>
        <v>7.6929999535050531E-2</v>
      </c>
      <c r="K31" s="9">
        <f t="shared" si="9"/>
        <v>7.6920000132842684E-2</v>
      </c>
      <c r="L31" s="9">
        <f t="shared" si="9"/>
        <v>7.6920000132842684E-2</v>
      </c>
      <c r="M31" s="9">
        <f t="shared" si="9"/>
        <v>7.6929999535050531E-2</v>
      </c>
      <c r="N31" s="9">
        <f t="shared" si="9"/>
        <v>0.11537999953505063</v>
      </c>
    </row>
    <row r="32" spans="1:15" x14ac:dyDescent="0.2">
      <c r="C32" s="9">
        <f t="shared" si="9"/>
        <v>7.6920000000000002E-2</v>
      </c>
      <c r="D32" s="9">
        <f t="shared" si="9"/>
        <v>7.6929999999999998E-2</v>
      </c>
      <c r="E32" s="9">
        <f t="shared" si="9"/>
        <v>7.6920000000000002E-2</v>
      </c>
      <c r="F32" s="9">
        <f t="shared" si="9"/>
        <v>7.6920000000000002E-2</v>
      </c>
      <c r="G32" s="9">
        <f t="shared" si="9"/>
        <v>7.6929999999999998E-2</v>
      </c>
      <c r="H32" s="9">
        <f t="shared" si="9"/>
        <v>0.11538</v>
      </c>
      <c r="I32" s="9">
        <f t="shared" si="9"/>
        <v>7.6920000000000002E-2</v>
      </c>
      <c r="J32" s="9">
        <f t="shared" si="9"/>
        <v>7.6929999999999998E-2</v>
      </c>
      <c r="K32" s="9">
        <f t="shared" si="9"/>
        <v>7.6920000000000002E-2</v>
      </c>
      <c r="L32" s="9">
        <f t="shared" si="9"/>
        <v>7.6920000000000002E-2</v>
      </c>
      <c r="M32" s="9">
        <f t="shared" si="9"/>
        <v>7.6929999999999998E-2</v>
      </c>
      <c r="N32" s="9">
        <f t="shared" si="9"/>
        <v>0.11538</v>
      </c>
    </row>
    <row r="34" spans="2:5" x14ac:dyDescent="0.2">
      <c r="C34" s="50">
        <f>C26/$O26</f>
        <v>7.7364884888632968E-2</v>
      </c>
    </row>
    <row r="37" spans="2:5" x14ac:dyDescent="0.2">
      <c r="B37" s="45" t="s">
        <v>154</v>
      </c>
      <c r="C37" s="45" t="s">
        <v>155</v>
      </c>
      <c r="D37" s="45" t="s">
        <v>156</v>
      </c>
      <c r="E37" s="45" t="s">
        <v>157</v>
      </c>
    </row>
    <row r="38" spans="2:5" x14ac:dyDescent="0.2">
      <c r="B38" s="46" t="s">
        <v>149</v>
      </c>
      <c r="C38" s="51">
        <v>8288673.6800000202</v>
      </c>
      <c r="D38" s="51">
        <v>8893287.1400000528</v>
      </c>
      <c r="E38" s="51">
        <v>8568026.3300000131</v>
      </c>
    </row>
    <row r="39" spans="2:5" x14ac:dyDescent="0.2">
      <c r="B39" s="46" t="s">
        <v>158</v>
      </c>
      <c r="C39" s="53">
        <v>1658.6</v>
      </c>
      <c r="D39" s="53">
        <v>458.33</v>
      </c>
      <c r="E39" s="53">
        <v>1105.83</v>
      </c>
    </row>
    <row r="40" spans="2:5" x14ac:dyDescent="0.2">
      <c r="B40" s="46"/>
      <c r="C40" s="51"/>
      <c r="D40" s="51"/>
      <c r="E40" s="51"/>
    </row>
    <row r="41" spans="2:5" x14ac:dyDescent="0.2">
      <c r="B41" s="46"/>
      <c r="C41" s="51"/>
      <c r="D41" s="51"/>
      <c r="E41" s="51"/>
    </row>
    <row r="42" spans="2:5" x14ac:dyDescent="0.2">
      <c r="B42" s="46"/>
      <c r="C42" s="51"/>
      <c r="D42" s="51"/>
      <c r="E42" s="51"/>
    </row>
    <row r="43" spans="2:5" x14ac:dyDescent="0.2">
      <c r="B43" s="46"/>
      <c r="C43" s="51"/>
      <c r="D43" s="51"/>
      <c r="E43" s="51"/>
    </row>
    <row r="44" spans="2:5" x14ac:dyDescent="0.2">
      <c r="B44" s="46"/>
      <c r="C44" s="51"/>
      <c r="D44" s="51"/>
      <c r="E44" s="51"/>
    </row>
    <row r="45" spans="2:5" x14ac:dyDescent="0.2">
      <c r="B45" s="46"/>
      <c r="C45" s="51"/>
      <c r="D45" s="51"/>
      <c r="E45" s="51"/>
    </row>
    <row r="46" spans="2:5" x14ac:dyDescent="0.2">
      <c r="B46" s="46"/>
      <c r="C46" s="51"/>
      <c r="D46" s="51"/>
      <c r="E46" s="51"/>
    </row>
    <row r="47" spans="2:5" x14ac:dyDescent="0.2">
      <c r="B47" s="37"/>
      <c r="C47" s="52">
        <f>SUM(C38:C39)</f>
        <v>8290332.2800000198</v>
      </c>
      <c r="D47" s="52">
        <f>SUM(D38:D39)</f>
        <v>8893745.4700000528</v>
      </c>
      <c r="E47" s="52">
        <f>SUM(E38:E39)</f>
        <v>8569132.1600000132</v>
      </c>
    </row>
    <row r="48" spans="2:5" x14ac:dyDescent="0.2">
      <c r="B48" s="54">
        <v>0.84</v>
      </c>
      <c r="C48" s="3">
        <f>C47/0.84</f>
        <v>9869443.1904762145</v>
      </c>
      <c r="D48" s="3">
        <f>D47/0.84</f>
        <v>10587792.226190539</v>
      </c>
      <c r="E48" s="3">
        <f>E47/0.84</f>
        <v>10201347.809523826</v>
      </c>
    </row>
    <row r="50" spans="3:5" x14ac:dyDescent="0.2">
      <c r="C50" s="7">
        <f>C48-C20</f>
        <v>-567627.80952378735</v>
      </c>
      <c r="D50" s="7">
        <f>D48-D20</f>
        <v>228490.67619054019</v>
      </c>
      <c r="E50" s="7">
        <f>E48-E20</f>
        <v>-156607.13047617488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3"/>
  <sheetViews>
    <sheetView workbookViewId="0">
      <selection activeCell="C10" sqref="C10"/>
    </sheetView>
  </sheetViews>
  <sheetFormatPr defaultRowHeight="12.75" x14ac:dyDescent="0.2"/>
  <cols>
    <col min="2" max="2" width="33" bestFit="1" customWidth="1"/>
    <col min="3" max="3" width="9" bestFit="1" customWidth="1"/>
    <col min="4" max="4" width="11.42578125" bestFit="1" customWidth="1"/>
    <col min="5" max="5" width="11.140625" bestFit="1" customWidth="1"/>
    <col min="6" max="6" width="9" bestFit="1" customWidth="1"/>
    <col min="7" max="8" width="10.42578125" bestFit="1" customWidth="1"/>
    <col min="9" max="9" width="8.85546875" bestFit="1" customWidth="1"/>
    <col min="10" max="10" width="9.7109375" bestFit="1" customWidth="1"/>
    <col min="11" max="13" width="8.85546875" bestFit="1" customWidth="1"/>
    <col min="14" max="14" width="9" bestFit="1" customWidth="1"/>
    <col min="15" max="15" width="8.85546875" bestFit="1" customWidth="1"/>
  </cols>
  <sheetData>
    <row r="2" spans="1:15" x14ac:dyDescent="0.2">
      <c r="D2">
        <f>C3+D3</f>
        <v>320</v>
      </c>
      <c r="E2">
        <f t="shared" ref="E2:N2" si="0">E3+D2</f>
        <v>480</v>
      </c>
      <c r="F2">
        <f t="shared" si="0"/>
        <v>640</v>
      </c>
      <c r="G2">
        <f t="shared" si="0"/>
        <v>800</v>
      </c>
      <c r="H2">
        <f t="shared" si="0"/>
        <v>1040</v>
      </c>
      <c r="I2">
        <f t="shared" si="0"/>
        <v>1200</v>
      </c>
      <c r="J2">
        <f t="shared" si="0"/>
        <v>1360</v>
      </c>
      <c r="K2">
        <f t="shared" si="0"/>
        <v>1520</v>
      </c>
      <c r="L2">
        <f t="shared" si="0"/>
        <v>1680</v>
      </c>
      <c r="M2">
        <f t="shared" si="0"/>
        <v>1920</v>
      </c>
      <c r="N2">
        <f t="shared" si="0"/>
        <v>2080</v>
      </c>
    </row>
    <row r="3" spans="1:15" x14ac:dyDescent="0.2">
      <c r="C3">
        <v>160</v>
      </c>
      <c r="D3">
        <v>160</v>
      </c>
      <c r="E3">
        <v>160</v>
      </c>
      <c r="F3">
        <v>160</v>
      </c>
      <c r="G3">
        <v>160</v>
      </c>
      <c r="H3">
        <v>240</v>
      </c>
      <c r="I3">
        <v>160</v>
      </c>
      <c r="J3">
        <v>160</v>
      </c>
      <c r="K3">
        <v>160</v>
      </c>
      <c r="L3">
        <v>160</v>
      </c>
      <c r="M3">
        <v>240</v>
      </c>
      <c r="N3">
        <v>160</v>
      </c>
    </row>
    <row r="4" spans="1:15" x14ac:dyDescent="0.2">
      <c r="D4">
        <f>C5+D5</f>
        <v>318.9264</v>
      </c>
      <c r="E4">
        <f>E5+D4</f>
        <v>474.5104</v>
      </c>
      <c r="F4">
        <f t="shared" ref="F4:N4" si="1">F5+E4</f>
        <v>645.69439999999997</v>
      </c>
      <c r="G4">
        <f t="shared" si="1"/>
        <v>816.12959999999998</v>
      </c>
      <c r="H4">
        <f t="shared" si="1"/>
        <v>1043.3488</v>
      </c>
      <c r="I4">
        <f t="shared" si="1"/>
        <v>1173.7647999999999</v>
      </c>
      <c r="J4">
        <f t="shared" si="1"/>
        <v>1338.5423999999998</v>
      </c>
      <c r="K4">
        <f t="shared" si="1"/>
        <v>1505.2543999999998</v>
      </c>
      <c r="L4">
        <f t="shared" si="1"/>
        <v>1660.6927999999998</v>
      </c>
      <c r="M4">
        <f t="shared" si="1"/>
        <v>1914.7439999999997</v>
      </c>
      <c r="N4">
        <f t="shared" si="1"/>
        <v>2079.9999999999995</v>
      </c>
    </row>
    <row r="5" spans="1:15" x14ac:dyDescent="0.2">
      <c r="C5">
        <f t="shared" ref="C5:N5" si="2">C6*2080</f>
        <v>154.5856</v>
      </c>
      <c r="D5">
        <f t="shared" si="2"/>
        <v>164.3408</v>
      </c>
      <c r="E5">
        <f t="shared" si="2"/>
        <v>155.584</v>
      </c>
      <c r="F5">
        <f t="shared" si="2"/>
        <v>171.184</v>
      </c>
      <c r="G5">
        <f t="shared" si="2"/>
        <v>170.43520000000001</v>
      </c>
      <c r="H5">
        <f t="shared" si="2"/>
        <v>227.2192</v>
      </c>
      <c r="I5">
        <f t="shared" si="2"/>
        <v>130.41600000000003</v>
      </c>
      <c r="J5">
        <f t="shared" si="2"/>
        <v>164.77760000000001</v>
      </c>
      <c r="K5">
        <f t="shared" si="2"/>
        <v>166.71199999999999</v>
      </c>
      <c r="L5">
        <f t="shared" si="2"/>
        <v>155.4384</v>
      </c>
      <c r="M5">
        <f t="shared" si="2"/>
        <v>254.05119999999999</v>
      </c>
      <c r="N5">
        <f t="shared" si="2"/>
        <v>165.256</v>
      </c>
    </row>
    <row r="6" spans="1:15" x14ac:dyDescent="0.2">
      <c r="B6" t="s">
        <v>159</v>
      </c>
      <c r="C6">
        <v>7.4319999999999997E-2</v>
      </c>
      <c r="D6">
        <v>7.9009999999999997E-2</v>
      </c>
      <c r="E6">
        <v>7.4800000000000005E-2</v>
      </c>
      <c r="F6">
        <v>8.2299999999999998E-2</v>
      </c>
      <c r="G6">
        <v>8.1939999999999999E-2</v>
      </c>
      <c r="H6">
        <v>0.10924</v>
      </c>
      <c r="I6">
        <v>6.2700000000000006E-2</v>
      </c>
      <c r="J6">
        <v>7.9219999999999999E-2</v>
      </c>
      <c r="K6">
        <v>8.0149999999999999E-2</v>
      </c>
      <c r="L6">
        <v>7.4730000000000005E-2</v>
      </c>
      <c r="M6">
        <f>0.12216-0.00002</f>
        <v>0.12214</v>
      </c>
      <c r="N6">
        <v>7.9450000000000007E-2</v>
      </c>
      <c r="O6" s="55">
        <f>SUM(C6:N6)</f>
        <v>0.99999999999999989</v>
      </c>
    </row>
    <row r="7" spans="1:15" x14ac:dyDescent="0.2">
      <c r="E7">
        <f>SUM(C6:E6)</f>
        <v>0.22813</v>
      </c>
      <c r="H7">
        <f>SUM(F6:H6)</f>
        <v>0.27348</v>
      </c>
      <c r="K7">
        <f>SUM(I6:K6)</f>
        <v>0.22206999999999999</v>
      </c>
      <c r="N7">
        <f>SUM(L6:N6)</f>
        <v>0.27632000000000001</v>
      </c>
    </row>
    <row r="8" spans="1:15" x14ac:dyDescent="0.2">
      <c r="H8">
        <f>E7+H7</f>
        <v>0.50161</v>
      </c>
      <c r="K8">
        <f>K7+H8</f>
        <v>0.72367999999999999</v>
      </c>
      <c r="N8">
        <f>N7+K8</f>
        <v>1</v>
      </c>
    </row>
    <row r="9" spans="1:15" x14ac:dyDescent="0.2">
      <c r="C9" s="15" t="s">
        <v>17</v>
      </c>
      <c r="D9" s="15" t="s">
        <v>20</v>
      </c>
      <c r="E9" s="15" t="s">
        <v>21</v>
      </c>
      <c r="F9" s="15" t="s">
        <v>22</v>
      </c>
      <c r="G9" s="15" t="s">
        <v>23</v>
      </c>
      <c r="H9" s="15" t="s">
        <v>24</v>
      </c>
      <c r="I9" s="15" t="s">
        <v>25</v>
      </c>
      <c r="J9" s="15" t="s">
        <v>26</v>
      </c>
      <c r="K9" s="15" t="s">
        <v>27</v>
      </c>
      <c r="L9" s="15" t="s">
        <v>28</v>
      </c>
      <c r="M9" s="15" t="s">
        <v>18</v>
      </c>
      <c r="N9" s="15" t="s">
        <v>29</v>
      </c>
      <c r="O9" s="15" t="s">
        <v>103</v>
      </c>
    </row>
    <row r="10" spans="1:15" x14ac:dyDescent="0.2">
      <c r="A10">
        <v>1</v>
      </c>
      <c r="B10" s="16" t="s">
        <v>109</v>
      </c>
      <c r="C10" s="12">
        <f>ROUND((All_Accts!C125),5)</f>
        <v>8.4110000000000004E-2</v>
      </c>
      <c r="D10" s="12">
        <f>ROUND((All_Accts!D125),5)</f>
        <v>0.13622999999999999</v>
      </c>
      <c r="E10" s="12">
        <f>ROUND((All_Accts!E125),5)</f>
        <v>8.8700000000000001E-2</v>
      </c>
      <c r="F10" s="12">
        <f>ROUND((All_Accts!F125),5)</f>
        <v>9.4579999999999997E-2</v>
      </c>
      <c r="G10" s="12">
        <f>ROUND((All_Accts!G125),5)</f>
        <v>9.0990000000000001E-2</v>
      </c>
      <c r="H10" s="12">
        <f>ROUND((All_Accts!H125),5)</f>
        <v>8.3769999999999997E-2</v>
      </c>
      <c r="I10" s="12">
        <f>ROUND((All_Accts!I125),5)</f>
        <v>9.6860000000000002E-2</v>
      </c>
      <c r="J10" s="12">
        <f>ROUND((All_Accts!J125),5)</f>
        <v>6.3490000000000005E-2</v>
      </c>
      <c r="K10" s="12">
        <f>ROUND((All_Accts!K125),5)</f>
        <v>8.1509999999999999E-2</v>
      </c>
      <c r="L10" s="12">
        <f>ROUND((All_Accts!L125),5)</f>
        <v>5.6430000000000001E-2</v>
      </c>
      <c r="M10" s="12">
        <f>ROUND((All_Accts!M125),5)</f>
        <v>6.4009999999999997E-2</v>
      </c>
      <c r="N10" s="12">
        <f>ROUND((All_Accts!N125),5)</f>
        <v>5.9319999999999998E-2</v>
      </c>
      <c r="O10" s="12">
        <f>SUM(C10:N10)</f>
        <v>1</v>
      </c>
    </row>
    <row r="11" spans="1:15" x14ac:dyDescent="0.2">
      <c r="B11" s="67" t="s">
        <v>170</v>
      </c>
      <c r="C11">
        <f>Labor!$BN43</f>
        <v>0</v>
      </c>
      <c r="D11">
        <f>Labor!$BN45</f>
        <v>0</v>
      </c>
      <c r="E11">
        <f>Labor!$BN47</f>
        <v>0</v>
      </c>
      <c r="F11">
        <f>Labor!$BN49</f>
        <v>0</v>
      </c>
      <c r="G11">
        <f>Labor!$BN52</f>
        <v>8.8220000000000007E-2</v>
      </c>
      <c r="H11">
        <f>Labor!$BN54</f>
        <v>0</v>
      </c>
      <c r="I11">
        <f>Labor!$BN56</f>
        <v>0</v>
      </c>
      <c r="J11">
        <f>Labor!$BN58</f>
        <v>0</v>
      </c>
      <c r="K11">
        <f>Labor!$BN60</f>
        <v>0</v>
      </c>
      <c r="L11">
        <f>Labor!$BN62</f>
        <v>0</v>
      </c>
      <c r="M11">
        <f>Labor!$BN65</f>
        <v>6.1179999999999998E-2</v>
      </c>
      <c r="N11">
        <f>Labor!$BN67</f>
        <v>8.6779999999999996E-2</v>
      </c>
      <c r="O11" s="55">
        <f>SUM(C11:N11)</f>
        <v>0.23618</v>
      </c>
    </row>
    <row r="12" spans="1:15" x14ac:dyDescent="0.2">
      <c r="A12">
        <v>2</v>
      </c>
      <c r="B12" t="s">
        <v>110</v>
      </c>
      <c r="C12">
        <f>ROUND((All_Accts!C123),5)</f>
        <v>8.5699999999999998E-2</v>
      </c>
      <c r="D12">
        <f>ROUND((All_Accts!D123),5)</f>
        <v>0.10306999999999999</v>
      </c>
      <c r="E12">
        <f>ROUND((All_Accts!E123),5)</f>
        <v>0.10537000000000001</v>
      </c>
      <c r="F12">
        <f>ROUND((All_Accts!F123),5)</f>
        <v>0.10623</v>
      </c>
      <c r="G12">
        <f>ROUND((All_Accts!G123),5)</f>
        <v>8.201E-2</v>
      </c>
      <c r="H12">
        <f>ROUND((All_Accts!H123),5)</f>
        <v>8.3199999999999996E-2</v>
      </c>
      <c r="I12">
        <f>ROUND((All_Accts!I123),5)</f>
        <v>8.7340000000000001E-2</v>
      </c>
      <c r="J12">
        <f>ROUND((All_Accts!J123),5)</f>
        <v>5.0689999999999999E-2</v>
      </c>
      <c r="K12">
        <f>ROUND((All_Accts!K123),5)</f>
        <v>6.9089999999999999E-2</v>
      </c>
      <c r="L12">
        <f>ROUND((All_Accts!L123),5)</f>
        <v>6.0089999999999998E-2</v>
      </c>
      <c r="M12">
        <f>ROUND((All_Accts!M123),5)</f>
        <v>7.0529999999999995E-2</v>
      </c>
      <c r="N12" s="12">
        <f>1-SUM(C12:M12)</f>
        <v>9.6680000000000099E-2</v>
      </c>
      <c r="O12" s="55">
        <f>SUM(C12:N12)</f>
        <v>1</v>
      </c>
    </row>
    <row r="13" spans="1:15" x14ac:dyDescent="0.2">
      <c r="B13" s="16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55"/>
    </row>
    <row r="14" spans="1:15" x14ac:dyDescent="0.2">
      <c r="A14">
        <v>3</v>
      </c>
      <c r="B14" s="16" t="s">
        <v>113</v>
      </c>
      <c r="C14" s="12">
        <f>ROUND((All_Accts!C127),5)</f>
        <v>9.1340000000000005E-2</v>
      </c>
      <c r="D14" s="12">
        <f>ROUND((All_Accts!D127),5)</f>
        <v>0.11638</v>
      </c>
      <c r="E14" s="12">
        <f>ROUND((All_Accts!E127),5)</f>
        <v>0.10087</v>
      </c>
      <c r="F14" s="12">
        <f>ROUND((All_Accts!F127),5)</f>
        <v>0.11339</v>
      </c>
      <c r="G14" s="12">
        <f>ROUND((All_Accts!G127),5)</f>
        <v>0.12482</v>
      </c>
      <c r="H14" s="12">
        <f>ROUND((All_Accts!H127),5)</f>
        <v>8.4830000000000003E-2</v>
      </c>
      <c r="I14" s="12">
        <f>ROUND((All_Accts!I127),5)</f>
        <v>7.17E-2</v>
      </c>
      <c r="J14" s="12">
        <f>ROUND((All_Accts!J127),5)</f>
        <v>3.1220000000000001E-2</v>
      </c>
      <c r="K14" s="12">
        <f>ROUND((All_Accts!K127),5)</f>
        <v>4.1430000000000002E-2</v>
      </c>
      <c r="L14" s="12">
        <f>ROUND((All_Accts!L127),5)</f>
        <v>4.8489999999999998E-2</v>
      </c>
      <c r="M14" s="12">
        <f>ROUND((All_Accts!M127),5)</f>
        <v>4.743E-2</v>
      </c>
      <c r="N14" s="12">
        <f>ROUND((All_Accts!N127),5)</f>
        <v>0.12809000000000001</v>
      </c>
      <c r="O14" s="55">
        <f>SUM(C14:N14)</f>
        <v>0.99999000000000005</v>
      </c>
    </row>
    <row r="15" spans="1:15" x14ac:dyDescent="0.2">
      <c r="B15" s="16"/>
    </row>
    <row r="16" spans="1:15" x14ac:dyDescent="0.2">
      <c r="A16">
        <v>4</v>
      </c>
      <c r="B16" s="16" t="s">
        <v>160</v>
      </c>
      <c r="C16" s="12">
        <f>ROUND((All_Accts!C129),5)</f>
        <v>7.177E-2</v>
      </c>
      <c r="D16" s="12">
        <f>ROUND((All_Accts!D129),5)</f>
        <v>6.4610000000000001E-2</v>
      </c>
      <c r="E16" s="12">
        <f>ROUND((All_Accts!E129),5)</f>
        <v>0.10634</v>
      </c>
      <c r="F16" s="12">
        <f>ROUND((All_Accts!F129),5)</f>
        <v>0.10931</v>
      </c>
      <c r="G16" s="12">
        <f>ROUND((All_Accts!G129),5)</f>
        <v>7.1980000000000002E-2</v>
      </c>
      <c r="H16" s="12">
        <f>ROUND((All_Accts!H129),5)</f>
        <v>8.9550000000000005E-2</v>
      </c>
      <c r="I16" s="12">
        <f>ROUND((All_Accts!I129),5)</f>
        <v>8.2369999999999999E-2</v>
      </c>
      <c r="J16" s="12">
        <f>ROUND((All_Accts!J129),5)</f>
        <v>4.7460000000000002E-2</v>
      </c>
      <c r="K16" s="12">
        <f>ROUND((All_Accts!K129),5)</f>
        <v>6.1350000000000002E-2</v>
      </c>
      <c r="L16" s="12">
        <f>ROUND((All_Accts!L129),5)</f>
        <v>6.6650000000000001E-2</v>
      </c>
      <c r="M16" s="12">
        <f>ROUND((All_Accts!M129),5)</f>
        <v>8.6529999999999996E-2</v>
      </c>
      <c r="N16" s="12">
        <f>1-SUM(C16:M16)</f>
        <v>0.14207999999999987</v>
      </c>
      <c r="O16" s="55">
        <f>SUM(C16:N16)</f>
        <v>1</v>
      </c>
    </row>
    <row r="17" spans="1:15" x14ac:dyDescent="0.2">
      <c r="B17" s="16"/>
    </row>
    <row r="18" spans="1:15" x14ac:dyDescent="0.2">
      <c r="A18">
        <v>5</v>
      </c>
      <c r="B18" s="16" t="s">
        <v>161</v>
      </c>
      <c r="C18" s="12">
        <f>ROUND((All_Accts!C131),5)</f>
        <v>5.4969999999999998E-2</v>
      </c>
      <c r="D18" s="12">
        <f>ROUND((All_Accts!D131),5)</f>
        <v>6.6339999999999996E-2</v>
      </c>
      <c r="E18" s="12">
        <f>ROUND((All_Accts!E131),5)</f>
        <v>8.4019999999999997E-2</v>
      </c>
      <c r="F18" s="12">
        <f>ROUND((All_Accts!F131),5)</f>
        <v>9.5610000000000001E-2</v>
      </c>
      <c r="G18" s="12">
        <f>ROUND((All_Accts!G131),5)</f>
        <v>8.1549999999999997E-2</v>
      </c>
      <c r="H18" s="12">
        <f>ROUND((All_Accts!H131),5)</f>
        <v>8.1699999999999995E-2</v>
      </c>
      <c r="I18" s="12">
        <f>ROUND((All_Accts!I131),5)</f>
        <v>0.11039</v>
      </c>
      <c r="J18" s="12">
        <f>ROUND((All_Accts!J131),5)</f>
        <v>7.4859999999999996E-2</v>
      </c>
      <c r="K18" s="12">
        <f>ROUND((All_Accts!K131),5)</f>
        <v>7.7380000000000004E-2</v>
      </c>
      <c r="L18" s="12">
        <f>ROUND((All_Accts!L131),5)</f>
        <v>7.7810000000000004E-2</v>
      </c>
      <c r="M18" s="12">
        <f>ROUND((All_Accts!M131),5)</f>
        <v>9.1020000000000004E-2</v>
      </c>
      <c r="N18" s="12">
        <f>1-SUM(C18:M18)</f>
        <v>0.10434999999999994</v>
      </c>
      <c r="O18" s="55">
        <f>SUM(C18:N18)</f>
        <v>1</v>
      </c>
    </row>
    <row r="20" spans="1:15" x14ac:dyDescent="0.2">
      <c r="A20">
        <v>6</v>
      </c>
      <c r="B20" t="s">
        <v>164</v>
      </c>
      <c r="C20" s="56">
        <v>0.10850799999999999</v>
      </c>
      <c r="D20" s="56">
        <v>0.10487100000000001</v>
      </c>
      <c r="E20" s="56">
        <v>9.7772999999999999E-2</v>
      </c>
      <c r="F20" s="56">
        <v>9.2071E-2</v>
      </c>
      <c r="G20" s="56">
        <v>7.1184999999999998E-2</v>
      </c>
      <c r="H20" s="56">
        <v>6.3483999999999999E-2</v>
      </c>
      <c r="I20" s="56">
        <v>6.2232999999999997E-2</v>
      </c>
      <c r="J20" s="56">
        <v>5.8833999999999997E-2</v>
      </c>
      <c r="K20" s="56">
        <v>6.7825999999999997E-2</v>
      </c>
      <c r="L20" s="56">
        <v>8.4795999999999996E-2</v>
      </c>
      <c r="M20" s="56">
        <v>9.2191999999999996E-2</v>
      </c>
      <c r="N20" s="56">
        <v>9.6226999999999993E-2</v>
      </c>
      <c r="O20" s="55">
        <f>SUM(C20:N20)</f>
        <v>0.99999999999999989</v>
      </c>
    </row>
    <row r="22" spans="1:15" x14ac:dyDescent="0.2">
      <c r="E22" s="55">
        <f>SUM(C10:E10)</f>
        <v>0.30903999999999998</v>
      </c>
      <c r="H22" s="55">
        <f>SUM(F10:H10)</f>
        <v>0.26934000000000002</v>
      </c>
      <c r="K22" s="55">
        <f>SUM(I10:K10)</f>
        <v>0.24185999999999999</v>
      </c>
      <c r="N22" s="55">
        <f>SUM(L10:N10)</f>
        <v>0.17975999999999998</v>
      </c>
    </row>
    <row r="23" spans="1:15" x14ac:dyDescent="0.2">
      <c r="H23">
        <f>E22+H22</f>
        <v>0.57838000000000001</v>
      </c>
      <c r="K23">
        <f>K22+H23</f>
        <v>0.82023999999999997</v>
      </c>
      <c r="N23">
        <f>N22+K23</f>
        <v>1</v>
      </c>
    </row>
    <row r="25" spans="1:15" x14ac:dyDescent="0.2">
      <c r="B25" t="s">
        <v>166</v>
      </c>
    </row>
    <row r="28" spans="1:15" x14ac:dyDescent="0.2">
      <c r="B28" s="22"/>
      <c r="C28" s="22" t="s">
        <v>123</v>
      </c>
      <c r="D28" s="22" t="s">
        <v>34</v>
      </c>
      <c r="E28" s="22" t="s">
        <v>125</v>
      </c>
      <c r="F28" s="22"/>
      <c r="G28" s="22"/>
      <c r="H28" s="22" t="s">
        <v>129</v>
      </c>
    </row>
    <row r="29" spans="1:15" x14ac:dyDescent="0.2">
      <c r="B29" s="22"/>
      <c r="C29" s="22" t="s">
        <v>122</v>
      </c>
      <c r="D29" s="22" t="s">
        <v>124</v>
      </c>
      <c r="E29" s="22" t="s">
        <v>126</v>
      </c>
      <c r="F29" s="22" t="s">
        <v>127</v>
      </c>
      <c r="G29" s="22" t="s">
        <v>128</v>
      </c>
      <c r="H29" s="22" t="s">
        <v>130</v>
      </c>
    </row>
    <row r="30" spans="1:15" x14ac:dyDescent="0.2">
      <c r="B30" s="22" t="s">
        <v>17</v>
      </c>
      <c r="C30" s="33">
        <f>C12</f>
        <v>8.5699999999999998E-2</v>
      </c>
      <c r="D30" s="33">
        <f>C10</f>
        <v>8.4110000000000004E-2</v>
      </c>
      <c r="E30" s="33">
        <f>C14</f>
        <v>9.1340000000000005E-2</v>
      </c>
      <c r="F30" s="33">
        <f>C16</f>
        <v>7.177E-2</v>
      </c>
      <c r="G30" s="33">
        <f>C18</f>
        <v>5.4969999999999998E-2</v>
      </c>
      <c r="H30" s="33">
        <f>C20</f>
        <v>0.10850799999999999</v>
      </c>
    </row>
    <row r="31" spans="1:15" x14ac:dyDescent="0.2">
      <c r="B31" s="22" t="s">
        <v>20</v>
      </c>
      <c r="C31" s="33">
        <f>D12</f>
        <v>0.10306999999999999</v>
      </c>
      <c r="D31" s="33">
        <f>D10</f>
        <v>0.13622999999999999</v>
      </c>
      <c r="E31" s="33">
        <f>D14</f>
        <v>0.11638</v>
      </c>
      <c r="F31" s="33">
        <f>D16</f>
        <v>6.4610000000000001E-2</v>
      </c>
      <c r="G31" s="33">
        <f>D18</f>
        <v>6.6339999999999996E-2</v>
      </c>
      <c r="H31" s="33">
        <f>D20</f>
        <v>0.10487100000000001</v>
      </c>
    </row>
    <row r="32" spans="1:15" x14ac:dyDescent="0.2">
      <c r="B32" s="22" t="s">
        <v>21</v>
      </c>
      <c r="C32" s="33">
        <f>E12</f>
        <v>0.10537000000000001</v>
      </c>
      <c r="D32" s="33">
        <f>E10</f>
        <v>8.8700000000000001E-2</v>
      </c>
      <c r="E32" s="33">
        <f>E14</f>
        <v>0.10087</v>
      </c>
      <c r="F32" s="33">
        <f>E16</f>
        <v>0.10634</v>
      </c>
      <c r="G32" s="33">
        <f>E18</f>
        <v>8.4019999999999997E-2</v>
      </c>
      <c r="H32" s="33">
        <f>E20</f>
        <v>9.7772999999999999E-2</v>
      </c>
    </row>
    <row r="33" spans="2:8" x14ac:dyDescent="0.2">
      <c r="B33" s="22" t="s">
        <v>22</v>
      </c>
      <c r="C33" s="33">
        <f>F12</f>
        <v>0.10623</v>
      </c>
      <c r="D33" s="33">
        <f>F10</f>
        <v>9.4579999999999997E-2</v>
      </c>
      <c r="E33" s="33">
        <f>F14</f>
        <v>0.11339</v>
      </c>
      <c r="F33" s="33">
        <f>F16</f>
        <v>0.10931</v>
      </c>
      <c r="G33" s="33">
        <f>F18</f>
        <v>9.5610000000000001E-2</v>
      </c>
      <c r="H33" s="33">
        <f>F20</f>
        <v>9.2071E-2</v>
      </c>
    </row>
    <row r="34" spans="2:8" x14ac:dyDescent="0.2">
      <c r="B34" s="22" t="s">
        <v>23</v>
      </c>
      <c r="C34" s="33">
        <f>G12</f>
        <v>8.201E-2</v>
      </c>
      <c r="D34" s="33">
        <f>G10</f>
        <v>9.0990000000000001E-2</v>
      </c>
      <c r="E34" s="33">
        <f>G14</f>
        <v>0.12482</v>
      </c>
      <c r="F34" s="33">
        <f>G16</f>
        <v>7.1980000000000002E-2</v>
      </c>
      <c r="G34" s="33">
        <f>G18</f>
        <v>8.1549999999999997E-2</v>
      </c>
      <c r="H34" s="33">
        <f>G20</f>
        <v>7.1184999999999998E-2</v>
      </c>
    </row>
    <row r="35" spans="2:8" x14ac:dyDescent="0.2">
      <c r="B35" s="22" t="s">
        <v>24</v>
      </c>
      <c r="C35" s="33">
        <f>H12</f>
        <v>8.3199999999999996E-2</v>
      </c>
      <c r="D35" s="33">
        <f>H10</f>
        <v>8.3769999999999997E-2</v>
      </c>
      <c r="E35" s="33">
        <f>H14</f>
        <v>8.4830000000000003E-2</v>
      </c>
      <c r="F35" s="33">
        <f>H16</f>
        <v>8.9550000000000005E-2</v>
      </c>
      <c r="G35" s="33">
        <f>H18</f>
        <v>8.1699999999999995E-2</v>
      </c>
      <c r="H35" s="33">
        <f>H20</f>
        <v>6.3483999999999999E-2</v>
      </c>
    </row>
    <row r="36" spans="2:8" x14ac:dyDescent="0.2">
      <c r="B36" s="22" t="s">
        <v>25</v>
      </c>
      <c r="C36" s="33">
        <f>I12</f>
        <v>8.7340000000000001E-2</v>
      </c>
      <c r="D36" s="33">
        <f>I10</f>
        <v>9.6860000000000002E-2</v>
      </c>
      <c r="E36" s="33">
        <f>I14</f>
        <v>7.17E-2</v>
      </c>
      <c r="F36" s="33">
        <f>I16</f>
        <v>8.2369999999999999E-2</v>
      </c>
      <c r="G36" s="33">
        <f>I18</f>
        <v>0.11039</v>
      </c>
      <c r="H36" s="33">
        <f>I20</f>
        <v>6.2232999999999997E-2</v>
      </c>
    </row>
    <row r="37" spans="2:8" x14ac:dyDescent="0.2">
      <c r="B37" s="22" t="s">
        <v>26</v>
      </c>
      <c r="C37" s="33">
        <f>J12</f>
        <v>5.0689999999999999E-2</v>
      </c>
      <c r="D37" s="33">
        <f>J10</f>
        <v>6.3490000000000005E-2</v>
      </c>
      <c r="E37" s="33">
        <f>J14</f>
        <v>3.1220000000000001E-2</v>
      </c>
      <c r="F37" s="33">
        <f>J16</f>
        <v>4.7460000000000002E-2</v>
      </c>
      <c r="G37" s="33">
        <f>J18</f>
        <v>7.4859999999999996E-2</v>
      </c>
      <c r="H37" s="33">
        <f>J20</f>
        <v>5.8833999999999997E-2</v>
      </c>
    </row>
    <row r="38" spans="2:8" x14ac:dyDescent="0.2">
      <c r="B38" s="22" t="s">
        <v>27</v>
      </c>
      <c r="C38" s="33">
        <f>K12</f>
        <v>6.9089999999999999E-2</v>
      </c>
      <c r="D38" s="33">
        <f>K10</f>
        <v>8.1509999999999999E-2</v>
      </c>
      <c r="E38" s="33">
        <f>K14</f>
        <v>4.1430000000000002E-2</v>
      </c>
      <c r="F38" s="33">
        <f>K16</f>
        <v>6.1350000000000002E-2</v>
      </c>
      <c r="G38" s="33">
        <f>K18</f>
        <v>7.7380000000000004E-2</v>
      </c>
      <c r="H38" s="33">
        <f>K20</f>
        <v>6.7825999999999997E-2</v>
      </c>
    </row>
    <row r="39" spans="2:8" x14ac:dyDescent="0.2">
      <c r="B39" s="22" t="s">
        <v>28</v>
      </c>
      <c r="C39" s="33">
        <f>L12</f>
        <v>6.0089999999999998E-2</v>
      </c>
      <c r="D39" s="33">
        <f>L10</f>
        <v>5.6430000000000001E-2</v>
      </c>
      <c r="E39" s="33">
        <f>L14</f>
        <v>4.8489999999999998E-2</v>
      </c>
      <c r="F39" s="33">
        <f>L16</f>
        <v>6.6650000000000001E-2</v>
      </c>
      <c r="G39" s="33">
        <f>L18</f>
        <v>7.7810000000000004E-2</v>
      </c>
      <c r="H39" s="33">
        <f>L20</f>
        <v>8.4795999999999996E-2</v>
      </c>
    </row>
    <row r="40" spans="2:8" x14ac:dyDescent="0.2">
      <c r="B40" s="22" t="s">
        <v>18</v>
      </c>
      <c r="C40" s="33">
        <f>M12</f>
        <v>7.0529999999999995E-2</v>
      </c>
      <c r="D40" s="33">
        <f>M10</f>
        <v>6.4009999999999997E-2</v>
      </c>
      <c r="E40" s="33">
        <f>M14</f>
        <v>4.743E-2</v>
      </c>
      <c r="F40" s="33">
        <f>M16</f>
        <v>8.6529999999999996E-2</v>
      </c>
      <c r="G40" s="33">
        <f>M18</f>
        <v>9.1020000000000004E-2</v>
      </c>
      <c r="H40" s="33">
        <f>M20</f>
        <v>9.2191999999999996E-2</v>
      </c>
    </row>
    <row r="41" spans="2:8" x14ac:dyDescent="0.2">
      <c r="B41" s="22" t="s">
        <v>29</v>
      </c>
      <c r="C41" s="33">
        <f>N12</f>
        <v>9.6680000000000099E-2</v>
      </c>
      <c r="D41" s="33">
        <f>N10</f>
        <v>5.9319999999999998E-2</v>
      </c>
      <c r="E41" s="33">
        <f>N14</f>
        <v>0.12809000000000001</v>
      </c>
      <c r="F41" s="33">
        <f>N16</f>
        <v>0.14207999999999987</v>
      </c>
      <c r="G41" s="33">
        <f>N18</f>
        <v>0.10434999999999994</v>
      </c>
      <c r="H41" s="33">
        <f>N20</f>
        <v>9.6226999999999993E-2</v>
      </c>
    </row>
    <row r="42" spans="2:8" ht="13.5" thickBot="1" x14ac:dyDescent="0.25">
      <c r="B42" s="22"/>
      <c r="C42" s="34">
        <f t="shared" ref="C42:H42" si="3">SUM(C30:C41)</f>
        <v>1</v>
      </c>
      <c r="D42" s="34">
        <f t="shared" si="3"/>
        <v>1</v>
      </c>
      <c r="E42" s="34">
        <f t="shared" si="3"/>
        <v>0.99999000000000005</v>
      </c>
      <c r="F42" s="34">
        <f t="shared" si="3"/>
        <v>1</v>
      </c>
      <c r="G42" s="34">
        <f t="shared" si="3"/>
        <v>1</v>
      </c>
      <c r="H42" s="34">
        <f t="shared" si="3"/>
        <v>0.99999999999999989</v>
      </c>
    </row>
    <row r="43" spans="2:8" ht="13.5" thickTop="1" x14ac:dyDescent="0.2"/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22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94" sqref="C94"/>
    </sheetView>
  </sheetViews>
  <sheetFormatPr defaultRowHeight="12.75" x14ac:dyDescent="0.2"/>
  <cols>
    <col min="1" max="1" width="6" style="16" bestFit="1" customWidth="1"/>
    <col min="2" max="2" width="37.5703125" customWidth="1"/>
    <col min="3" max="3" width="12.42578125" bestFit="1" customWidth="1"/>
    <col min="4" max="5" width="12.28515625" bestFit="1" customWidth="1"/>
    <col min="6" max="6" width="12.42578125" bestFit="1" customWidth="1"/>
    <col min="7" max="8" width="12.85546875" customWidth="1"/>
    <col min="9" max="10" width="12.28515625" customWidth="1"/>
    <col min="11" max="11" width="13" customWidth="1"/>
    <col min="12" max="14" width="12.28515625" customWidth="1"/>
    <col min="15" max="15" width="14" bestFit="1" customWidth="1"/>
    <col min="16" max="16" width="12.42578125" style="17" bestFit="1" customWidth="1"/>
    <col min="17" max="17" width="14.7109375" style="17" bestFit="1" customWidth="1"/>
    <col min="18" max="18" width="11.7109375" style="17" bestFit="1" customWidth="1"/>
    <col min="19" max="21" width="14" bestFit="1" customWidth="1"/>
    <col min="22" max="30" width="15" bestFit="1" customWidth="1"/>
  </cols>
  <sheetData>
    <row r="1" spans="1:22" x14ac:dyDescent="0.2">
      <c r="B1" s="22" t="s">
        <v>203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>
        <f>SUM(C1:N1)</f>
        <v>0</v>
      </c>
    </row>
    <row r="2" spans="1:22" x14ac:dyDescent="0.2">
      <c r="B2" s="24" t="s">
        <v>223</v>
      </c>
      <c r="C2" s="30" t="s">
        <v>17</v>
      </c>
      <c r="D2" s="30" t="s">
        <v>20</v>
      </c>
      <c r="E2" s="30" t="s">
        <v>21</v>
      </c>
      <c r="F2" s="30" t="s">
        <v>22</v>
      </c>
      <c r="G2" s="30" t="s">
        <v>23</v>
      </c>
      <c r="H2" s="30" t="s">
        <v>24</v>
      </c>
      <c r="I2" s="30" t="s">
        <v>25</v>
      </c>
      <c r="J2" s="30" t="s">
        <v>26</v>
      </c>
      <c r="K2" s="30" t="s">
        <v>27</v>
      </c>
      <c r="L2" s="30" t="s">
        <v>28</v>
      </c>
      <c r="M2" s="30" t="s">
        <v>18</v>
      </c>
      <c r="N2" s="30" t="s">
        <v>29</v>
      </c>
      <c r="O2" s="30" t="s">
        <v>103</v>
      </c>
      <c r="P2" s="31"/>
      <c r="Q2" s="31"/>
      <c r="R2" s="31"/>
      <c r="S2" s="30"/>
      <c r="T2" s="30"/>
      <c r="U2" s="30"/>
      <c r="V2" s="30"/>
    </row>
    <row r="3" spans="1:22" x14ac:dyDescent="0.2">
      <c r="A3" s="16" t="s">
        <v>33</v>
      </c>
      <c r="B3" s="16" t="s">
        <v>34</v>
      </c>
      <c r="C3" s="20">
        <f t="shared" ref="C3:N3" si="0">C104+C143+C184</f>
        <v>0</v>
      </c>
      <c r="D3" s="20">
        <f t="shared" si="0"/>
        <v>45827</v>
      </c>
      <c r="E3" s="20">
        <f t="shared" si="0"/>
        <v>60520</v>
      </c>
      <c r="F3" s="20">
        <f t="shared" si="0"/>
        <v>57486</v>
      </c>
      <c r="G3" s="20">
        <f t="shared" si="0"/>
        <v>94175</v>
      </c>
      <c r="H3" s="20">
        <f t="shared" si="0"/>
        <v>94522</v>
      </c>
      <c r="I3" s="20">
        <f t="shared" si="0"/>
        <v>109301</v>
      </c>
      <c r="J3" s="20">
        <f t="shared" si="0"/>
        <v>-126945</v>
      </c>
      <c r="K3" s="20">
        <f t="shared" si="0"/>
        <v>54612</v>
      </c>
      <c r="L3" s="20">
        <f t="shared" si="0"/>
        <v>32368</v>
      </c>
      <c r="M3" s="20">
        <f t="shared" si="0"/>
        <v>31903</v>
      </c>
      <c r="N3" s="20">
        <f t="shared" si="0"/>
        <v>-4633331</v>
      </c>
      <c r="O3" s="20">
        <f>SUM(C3:N3)</f>
        <v>-4179562</v>
      </c>
      <c r="P3" s="13">
        <f>O3/O$91</f>
        <v>1.0675819544416574</v>
      </c>
    </row>
    <row r="4" spans="1:22" x14ac:dyDescent="0.2">
      <c r="B4" s="16"/>
      <c r="C4" s="9">
        <f t="shared" ref="C4:N4" si="1">C3/$O3</f>
        <v>0</v>
      </c>
      <c r="D4" s="9">
        <f t="shared" si="1"/>
        <v>-1.0964546045733979E-2</v>
      </c>
      <c r="E4" s="9">
        <f t="shared" si="1"/>
        <v>-1.4479986180370096E-2</v>
      </c>
      <c r="F4" s="9">
        <f t="shared" si="1"/>
        <v>-1.375407279518763E-2</v>
      </c>
      <c r="G4" s="9">
        <f t="shared" si="1"/>
        <v>-2.253226534263638E-2</v>
      </c>
      <c r="H4" s="9">
        <f t="shared" si="1"/>
        <v>-2.2615288396248219E-2</v>
      </c>
      <c r="I4" s="9">
        <f t="shared" si="1"/>
        <v>-2.6151304849646926E-2</v>
      </c>
      <c r="J4" s="9">
        <f t="shared" si="1"/>
        <v>3.0372799829264406E-2</v>
      </c>
      <c r="K4" s="9">
        <f t="shared" si="1"/>
        <v>-1.3066440933284396E-2</v>
      </c>
      <c r="L4" s="9">
        <f t="shared" si="1"/>
        <v>-7.7443521593889503E-3</v>
      </c>
      <c r="M4" s="9">
        <f t="shared" si="1"/>
        <v>-7.633096482358678E-3</v>
      </c>
      <c r="N4" s="9">
        <f t="shared" si="1"/>
        <v>1.1085685533555909</v>
      </c>
      <c r="O4" s="20"/>
    </row>
    <row r="5" spans="1:22" x14ac:dyDescent="0.2">
      <c r="B5" s="16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22" x14ac:dyDescent="0.2">
      <c r="A6" s="113" t="s">
        <v>35</v>
      </c>
      <c r="B6" s="113" t="s">
        <v>36</v>
      </c>
      <c r="C6" s="20">
        <f>C105+C144+C185</f>
        <v>0</v>
      </c>
      <c r="D6" s="20">
        <f t="shared" ref="D6:N6" si="2">D105+D144+D185</f>
        <v>0</v>
      </c>
      <c r="E6" s="20">
        <f t="shared" si="2"/>
        <v>0</v>
      </c>
      <c r="F6" s="20">
        <f t="shared" si="2"/>
        <v>0</v>
      </c>
      <c r="G6" s="20">
        <f t="shared" si="2"/>
        <v>0</v>
      </c>
      <c r="H6" s="20">
        <f t="shared" si="2"/>
        <v>0</v>
      </c>
      <c r="I6" s="20">
        <f t="shared" si="2"/>
        <v>0</v>
      </c>
      <c r="J6" s="20">
        <f t="shared" si="2"/>
        <v>0</v>
      </c>
      <c r="K6" s="20">
        <f t="shared" si="2"/>
        <v>0</v>
      </c>
      <c r="L6" s="20">
        <f t="shared" si="2"/>
        <v>0</v>
      </c>
      <c r="M6" s="20">
        <f t="shared" si="2"/>
        <v>0</v>
      </c>
      <c r="N6" s="20">
        <f t="shared" si="2"/>
        <v>0</v>
      </c>
      <c r="O6" s="20">
        <f>SUM(C6:N6)</f>
        <v>0</v>
      </c>
      <c r="P6" s="13">
        <f>O6/O$91</f>
        <v>0</v>
      </c>
    </row>
    <row r="7" spans="1:22" x14ac:dyDescent="0.2">
      <c r="B7" s="16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22" x14ac:dyDescent="0.2">
      <c r="B8" s="16"/>
      <c r="C8" s="20">
        <v>0</v>
      </c>
      <c r="D8" s="20">
        <v>0</v>
      </c>
      <c r="E8" s="20">
        <v>0.36056354267083868</v>
      </c>
      <c r="F8" s="20">
        <v>0</v>
      </c>
      <c r="G8" s="20">
        <v>0.55936958547779103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8.0066871851370264E-2</v>
      </c>
      <c r="O8" s="20"/>
    </row>
    <row r="9" spans="1:22" x14ac:dyDescent="0.2">
      <c r="A9" s="16" t="s">
        <v>37</v>
      </c>
      <c r="B9" s="16" t="s">
        <v>38</v>
      </c>
      <c r="C9" s="20">
        <f t="shared" ref="C9:N9" si="3">C106+C145+C186</f>
        <v>0</v>
      </c>
      <c r="D9" s="20">
        <f t="shared" si="3"/>
        <v>0</v>
      </c>
      <c r="E9" s="20">
        <f t="shared" si="3"/>
        <v>112582</v>
      </c>
      <c r="F9" s="20">
        <f t="shared" si="3"/>
        <v>0</v>
      </c>
      <c r="G9" s="20">
        <f t="shared" si="3"/>
        <v>127000</v>
      </c>
      <c r="H9" s="20">
        <f t="shared" si="3"/>
        <v>0</v>
      </c>
      <c r="I9" s="20">
        <f t="shared" si="3"/>
        <v>0</v>
      </c>
      <c r="J9" s="20">
        <f t="shared" si="3"/>
        <v>0</v>
      </c>
      <c r="K9" s="20">
        <f t="shared" si="3"/>
        <v>0</v>
      </c>
      <c r="L9" s="20">
        <f t="shared" si="3"/>
        <v>0</v>
      </c>
      <c r="M9" s="20">
        <f t="shared" si="3"/>
        <v>0</v>
      </c>
      <c r="N9" s="20">
        <f t="shared" si="3"/>
        <v>25000</v>
      </c>
      <c r="O9" s="20">
        <f>SUM(C9:N9)</f>
        <v>264582</v>
      </c>
      <c r="P9" s="13">
        <f>O9/O$91</f>
        <v>-6.7581954441657432E-2</v>
      </c>
    </row>
    <row r="10" spans="1:22" x14ac:dyDescent="0.2">
      <c r="B10" s="16"/>
      <c r="C10" s="9">
        <f t="shared" ref="C10:N10" si="4">C9/$O9</f>
        <v>0</v>
      </c>
      <c r="D10" s="9">
        <f t="shared" si="4"/>
        <v>0</v>
      </c>
      <c r="E10" s="9">
        <f t="shared" si="4"/>
        <v>0.4255089159504426</v>
      </c>
      <c r="F10" s="9">
        <f t="shared" si="4"/>
        <v>0</v>
      </c>
      <c r="G10" s="9">
        <f t="shared" si="4"/>
        <v>0.48000241890982759</v>
      </c>
      <c r="H10" s="9">
        <f t="shared" si="4"/>
        <v>0</v>
      </c>
      <c r="I10" s="9">
        <f t="shared" si="4"/>
        <v>0</v>
      </c>
      <c r="J10" s="9">
        <f t="shared" si="4"/>
        <v>0</v>
      </c>
      <c r="K10" s="9">
        <f t="shared" si="4"/>
        <v>0</v>
      </c>
      <c r="L10" s="9">
        <f t="shared" si="4"/>
        <v>0</v>
      </c>
      <c r="M10" s="9">
        <f t="shared" si="4"/>
        <v>0</v>
      </c>
      <c r="N10" s="9">
        <f t="shared" si="4"/>
        <v>9.4488665139729838E-2</v>
      </c>
      <c r="O10" s="20"/>
      <c r="P10" s="13"/>
    </row>
    <row r="11" spans="1:22" x14ac:dyDescent="0.2">
      <c r="B11" s="16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13"/>
    </row>
    <row r="12" spans="1:22" x14ac:dyDescent="0.2">
      <c r="A12" s="16" t="s">
        <v>41</v>
      </c>
      <c r="B12" s="16" t="s">
        <v>42</v>
      </c>
      <c r="C12" s="20">
        <f t="shared" ref="C12:N12" si="5">C107+C147+C187</f>
        <v>-1358944</v>
      </c>
      <c r="D12" s="20">
        <f t="shared" si="5"/>
        <v>-2187404</v>
      </c>
      <c r="E12" s="20">
        <f t="shared" si="5"/>
        <v>-1351925</v>
      </c>
      <c r="F12" s="20">
        <f t="shared" si="5"/>
        <v>-1582723</v>
      </c>
      <c r="G12" s="20">
        <f t="shared" si="5"/>
        <v>-1383782</v>
      </c>
      <c r="H12" s="20">
        <f t="shared" si="5"/>
        <v>-1390297</v>
      </c>
      <c r="I12" s="20">
        <f t="shared" si="5"/>
        <v>-1522240</v>
      </c>
      <c r="J12" s="20">
        <f t="shared" si="5"/>
        <v>-1526927</v>
      </c>
      <c r="K12" s="20">
        <f t="shared" si="5"/>
        <v>-1439443</v>
      </c>
      <c r="L12" s="20">
        <f t="shared" si="5"/>
        <v>-1157895</v>
      </c>
      <c r="M12" s="20">
        <f t="shared" si="5"/>
        <v>-1399979</v>
      </c>
      <c r="N12" s="20">
        <f t="shared" si="5"/>
        <v>-1276775</v>
      </c>
      <c r="O12" s="20">
        <f>SUM(C12:N12)</f>
        <v>-17578334</v>
      </c>
      <c r="P12" s="13">
        <f>O12/O$89</f>
        <v>-0.64492533969837385</v>
      </c>
    </row>
    <row r="13" spans="1:22" x14ac:dyDescent="0.2">
      <c r="B13" s="16"/>
      <c r="C13" s="9">
        <f t="shared" ref="C13:N13" si="6">C12/$O12</f>
        <v>7.7307895048529626E-2</v>
      </c>
      <c r="D13" s="9">
        <f t="shared" si="6"/>
        <v>0.12443750357684637</v>
      </c>
      <c r="E13" s="9">
        <f t="shared" si="6"/>
        <v>7.6908596684987326E-2</v>
      </c>
      <c r="F13" s="9">
        <f t="shared" si="6"/>
        <v>9.0038282353720217E-2</v>
      </c>
      <c r="G13" s="9">
        <f t="shared" si="6"/>
        <v>7.8720884470621616E-2</v>
      </c>
      <c r="H13" s="9">
        <f t="shared" si="6"/>
        <v>7.9091511175063578E-2</v>
      </c>
      <c r="I13" s="9">
        <f t="shared" si="6"/>
        <v>8.6597512597041335E-2</v>
      </c>
      <c r="J13" s="9">
        <f t="shared" si="6"/>
        <v>8.6864147649032039E-2</v>
      </c>
      <c r="K13" s="9">
        <f t="shared" si="6"/>
        <v>8.18873392666222E-2</v>
      </c>
      <c r="L13" s="9">
        <f t="shared" si="6"/>
        <v>6.5870576813479589E-2</v>
      </c>
      <c r="M13" s="9">
        <f t="shared" si="6"/>
        <v>7.9642302848495203E-2</v>
      </c>
      <c r="N13" s="9">
        <f t="shared" si="6"/>
        <v>7.2633447515560917E-2</v>
      </c>
      <c r="O13" s="20"/>
      <c r="P13" s="13"/>
    </row>
    <row r="14" spans="1:22" x14ac:dyDescent="0.2">
      <c r="B14" s="16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13"/>
    </row>
    <row r="15" spans="1:22" x14ac:dyDescent="0.2">
      <c r="A15" s="16" t="s">
        <v>43</v>
      </c>
      <c r="B15" s="16" t="s">
        <v>44</v>
      </c>
      <c r="C15" s="20">
        <f t="shared" ref="C15:N15" si="7">C108+C148+C188</f>
        <v>-1080004</v>
      </c>
      <c r="D15" s="20">
        <f t="shared" si="7"/>
        <v>-2145327</v>
      </c>
      <c r="E15" s="20">
        <f t="shared" si="7"/>
        <v>-1318910</v>
      </c>
      <c r="F15" s="20">
        <f t="shared" si="7"/>
        <v>-1488856</v>
      </c>
      <c r="G15" s="20">
        <f t="shared" si="7"/>
        <v>-1356547</v>
      </c>
      <c r="H15" s="20">
        <f t="shared" si="7"/>
        <v>-1220434</v>
      </c>
      <c r="I15" s="20">
        <f t="shared" si="7"/>
        <v>-1745945</v>
      </c>
      <c r="J15" s="20">
        <f t="shared" si="7"/>
        <v>10573449</v>
      </c>
      <c r="K15" s="20">
        <f t="shared" si="7"/>
        <v>5746</v>
      </c>
      <c r="L15" s="20">
        <f t="shared" si="7"/>
        <v>2845</v>
      </c>
      <c r="M15" s="20">
        <f t="shared" si="7"/>
        <v>3641</v>
      </c>
      <c r="N15" s="20">
        <f t="shared" si="7"/>
        <v>109048</v>
      </c>
      <c r="O15" s="20">
        <f>SUM(C15:N15)</f>
        <v>338706</v>
      </c>
      <c r="P15" s="13">
        <f>O15/O$89</f>
        <v>1.2426665809619809E-2</v>
      </c>
    </row>
    <row r="16" spans="1:22" x14ac:dyDescent="0.2">
      <c r="B16" s="16"/>
      <c r="C16" s="9">
        <f t="shared" ref="C16:N16" si="8">C15/$O15</f>
        <v>-3.1886178573748323</v>
      </c>
      <c r="D16" s="9">
        <f t="shared" si="8"/>
        <v>-6.3338913393916849</v>
      </c>
      <c r="E16" s="9">
        <f t="shared" si="8"/>
        <v>-3.893967039261188</v>
      </c>
      <c r="F16" s="9">
        <f t="shared" si="8"/>
        <v>-4.3957178201744282</v>
      </c>
      <c r="G16" s="9">
        <f t="shared" si="8"/>
        <v>-4.005087007611321</v>
      </c>
      <c r="H16" s="9">
        <f t="shared" si="8"/>
        <v>-3.6032252159690117</v>
      </c>
      <c r="I16" s="9">
        <f t="shared" si="8"/>
        <v>-5.1547507277698061</v>
      </c>
      <c r="J16" s="9">
        <f t="shared" si="8"/>
        <v>31.217188358045028</v>
      </c>
      <c r="K16" s="9">
        <f t="shared" si="8"/>
        <v>1.6964565139088176E-2</v>
      </c>
      <c r="L16" s="9">
        <f t="shared" si="8"/>
        <v>8.3996150053438669E-3</v>
      </c>
      <c r="M16" s="9">
        <f t="shared" si="8"/>
        <v>1.074973575903586E-2</v>
      </c>
      <c r="N16" s="9">
        <f t="shared" si="8"/>
        <v>0.32195473360377436</v>
      </c>
      <c r="O16" s="20"/>
      <c r="P16" s="13"/>
    </row>
    <row r="17" spans="1:16" x14ac:dyDescent="0.2">
      <c r="B17" s="16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13"/>
    </row>
    <row r="18" spans="1:16" x14ac:dyDescent="0.2">
      <c r="A18" s="16" t="s">
        <v>45</v>
      </c>
      <c r="B18" s="16" t="s">
        <v>46</v>
      </c>
      <c r="C18" s="20">
        <f t="shared" ref="C18:N18" si="9">C109+C149+C189</f>
        <v>-1110994</v>
      </c>
      <c r="D18" s="20">
        <f t="shared" si="9"/>
        <v>-2685842</v>
      </c>
      <c r="E18" s="20">
        <f t="shared" si="9"/>
        <v>-1454323</v>
      </c>
      <c r="F18" s="20">
        <f t="shared" si="9"/>
        <v>-1567974</v>
      </c>
      <c r="G18" s="20">
        <f t="shared" si="9"/>
        <v>-1490535</v>
      </c>
      <c r="H18" s="20">
        <f t="shared" si="9"/>
        <v>-1325405</v>
      </c>
      <c r="I18" s="20">
        <f t="shared" si="9"/>
        <v>-832502</v>
      </c>
      <c r="J18" s="20">
        <f t="shared" si="9"/>
        <v>-1275850</v>
      </c>
      <c r="K18" s="20">
        <f t="shared" si="9"/>
        <v>-2207280</v>
      </c>
      <c r="L18" s="20">
        <f t="shared" si="9"/>
        <v>-1346340</v>
      </c>
      <c r="M18" s="20">
        <f t="shared" si="9"/>
        <v>-1853592</v>
      </c>
      <c r="N18" s="20">
        <f t="shared" si="9"/>
        <v>-653261</v>
      </c>
      <c r="O18" s="20">
        <f>SUM(C18:N18)</f>
        <v>-17803898</v>
      </c>
      <c r="P18" s="13">
        <f>O18/O$89</f>
        <v>-0.65320097829550838</v>
      </c>
    </row>
    <row r="19" spans="1:16" x14ac:dyDescent="0.2">
      <c r="B19" s="16"/>
      <c r="C19" s="9">
        <f t="shared" ref="C19:N19" si="10">C18/$O18</f>
        <v>6.2401727981142109E-2</v>
      </c>
      <c r="D19" s="9">
        <f t="shared" si="10"/>
        <v>0.1508569640199017</v>
      </c>
      <c r="E19" s="9">
        <f t="shared" si="10"/>
        <v>8.1685651086071148E-2</v>
      </c>
      <c r="F19" s="9">
        <f t="shared" si="10"/>
        <v>8.8069140813994778E-2</v>
      </c>
      <c r="G19" s="9">
        <f t="shared" si="10"/>
        <v>8.3719587699277995E-2</v>
      </c>
      <c r="H19" s="9">
        <f t="shared" si="10"/>
        <v>7.444465251373604E-2</v>
      </c>
      <c r="I19" s="9">
        <f t="shared" si="10"/>
        <v>4.675953546801942E-2</v>
      </c>
      <c r="J19" s="9">
        <f t="shared" si="10"/>
        <v>7.1661273278469689E-2</v>
      </c>
      <c r="K19" s="9">
        <f t="shared" si="10"/>
        <v>0.12397734473652905</v>
      </c>
      <c r="L19" s="9">
        <f t="shared" si="10"/>
        <v>7.5620518607779033E-2</v>
      </c>
      <c r="M19" s="9">
        <f t="shared" si="10"/>
        <v>0.10411158275564149</v>
      </c>
      <c r="N19" s="9">
        <f t="shared" si="10"/>
        <v>3.6692021039437542E-2</v>
      </c>
      <c r="O19" s="20"/>
      <c r="P19" s="13"/>
    </row>
    <row r="20" spans="1:16" x14ac:dyDescent="0.2">
      <c r="B20" s="16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13"/>
    </row>
    <row r="21" spans="1:16" x14ac:dyDescent="0.2">
      <c r="A21" s="16" t="s">
        <v>49</v>
      </c>
      <c r="B21" s="16" t="s">
        <v>50</v>
      </c>
      <c r="C21" s="20">
        <f>C110+C150+C190</f>
        <v>-1637737</v>
      </c>
      <c r="D21" s="20">
        <f t="shared" ref="D21:N21" si="11">D110+D150+D190</f>
        <v>-631112</v>
      </c>
      <c r="E21" s="20">
        <f t="shared" si="11"/>
        <v>-325094</v>
      </c>
      <c r="F21" s="20">
        <f t="shared" si="11"/>
        <v>-471685</v>
      </c>
      <c r="G21" s="20">
        <f t="shared" si="11"/>
        <v>153036</v>
      </c>
      <c r="H21" s="20">
        <f t="shared" si="11"/>
        <v>-60286</v>
      </c>
      <c r="I21" s="20">
        <f t="shared" si="11"/>
        <v>-179077</v>
      </c>
      <c r="J21" s="20">
        <f t="shared" si="11"/>
        <v>-80712</v>
      </c>
      <c r="K21" s="20">
        <f t="shared" si="11"/>
        <v>1556138</v>
      </c>
      <c r="L21" s="20">
        <f t="shared" si="11"/>
        <v>2820153</v>
      </c>
      <c r="M21" s="20">
        <f t="shared" si="11"/>
        <v>-1551961</v>
      </c>
      <c r="N21" s="20">
        <f t="shared" si="11"/>
        <v>396448</v>
      </c>
      <c r="O21" s="20">
        <f>SUM(C21:N21)</f>
        <v>-11889</v>
      </c>
      <c r="P21" s="13">
        <f>O21/O$89</f>
        <v>-4.3619135713736959E-4</v>
      </c>
    </row>
    <row r="22" spans="1:16" x14ac:dyDescent="0.2">
      <c r="B22" s="16"/>
      <c r="C22" s="9">
        <f t="shared" ref="C22:N22" si="12">C21/$O21</f>
        <v>137.75229203465389</v>
      </c>
      <c r="D22" s="9">
        <f t="shared" si="12"/>
        <v>53.083690806627978</v>
      </c>
      <c r="E22" s="9">
        <f t="shared" si="12"/>
        <v>27.34409958785432</v>
      </c>
      <c r="F22" s="9">
        <f t="shared" si="12"/>
        <v>39.674068466649842</v>
      </c>
      <c r="G22" s="9">
        <f t="shared" si="12"/>
        <v>-12.872066616199849</v>
      </c>
      <c r="H22" s="9">
        <f t="shared" si="12"/>
        <v>5.070737656657414</v>
      </c>
      <c r="I22" s="9">
        <f t="shared" si="12"/>
        <v>15.06241063167634</v>
      </c>
      <c r="J22" s="9">
        <f t="shared" si="12"/>
        <v>6.7887963663890991</v>
      </c>
      <c r="K22" s="9">
        <f t="shared" si="12"/>
        <v>-130.88888888888889</v>
      </c>
      <c r="L22" s="9">
        <f t="shared" si="12"/>
        <v>-237.20691395407519</v>
      </c>
      <c r="M22" s="9">
        <f t="shared" si="12"/>
        <v>130.53755572377827</v>
      </c>
      <c r="N22" s="9">
        <f t="shared" si="12"/>
        <v>-33.345781815123225</v>
      </c>
      <c r="O22" s="20"/>
      <c r="P22" s="13"/>
    </row>
    <row r="23" spans="1:16" x14ac:dyDescent="0.2">
      <c r="B23" s="16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13"/>
    </row>
    <row r="24" spans="1:16" x14ac:dyDescent="0.2">
      <c r="A24" s="16" t="s">
        <v>51</v>
      </c>
      <c r="B24" s="16" t="s">
        <v>52</v>
      </c>
      <c r="C24" s="20">
        <f t="shared" ref="C24:N24" si="13">C111+C151+C191</f>
        <v>-548849</v>
      </c>
      <c r="D24" s="20">
        <f t="shared" si="13"/>
        <v>0</v>
      </c>
      <c r="E24" s="20">
        <f t="shared" si="13"/>
        <v>197</v>
      </c>
      <c r="F24" s="20">
        <f t="shared" si="13"/>
        <v>248</v>
      </c>
      <c r="G24" s="20">
        <f t="shared" si="13"/>
        <v>0</v>
      </c>
      <c r="H24" s="20">
        <f t="shared" si="13"/>
        <v>547</v>
      </c>
      <c r="I24" s="20">
        <f t="shared" si="13"/>
        <v>0</v>
      </c>
      <c r="J24" s="20">
        <f t="shared" si="13"/>
        <v>547857</v>
      </c>
      <c r="K24" s="20">
        <f t="shared" si="13"/>
        <v>0</v>
      </c>
      <c r="L24" s="20">
        <f t="shared" si="13"/>
        <v>0</v>
      </c>
      <c r="M24" s="20">
        <f t="shared" si="13"/>
        <v>0</v>
      </c>
      <c r="N24" s="20">
        <f t="shared" si="13"/>
        <v>109</v>
      </c>
      <c r="O24" s="20">
        <f>SUM(C24:N24)</f>
        <v>109</v>
      </c>
      <c r="P24" s="13">
        <f>P93</f>
        <v>4.0307973627195468E-6</v>
      </c>
    </row>
    <row r="25" spans="1:16" x14ac:dyDescent="0.2">
      <c r="B25" s="16"/>
      <c r="C25" s="9">
        <f t="shared" ref="C25:N25" si="14">C24/$O24</f>
        <v>-5035.3119266055046</v>
      </c>
      <c r="D25" s="9">
        <f t="shared" si="14"/>
        <v>0</v>
      </c>
      <c r="E25" s="9">
        <f t="shared" si="14"/>
        <v>1.8073394495412844</v>
      </c>
      <c r="F25" s="9">
        <f t="shared" si="14"/>
        <v>2.2752293577981653</v>
      </c>
      <c r="G25" s="9">
        <f t="shared" si="14"/>
        <v>0</v>
      </c>
      <c r="H25" s="9">
        <f t="shared" si="14"/>
        <v>5.0183486238532113</v>
      </c>
      <c r="I25" s="9">
        <f t="shared" si="14"/>
        <v>0</v>
      </c>
      <c r="J25" s="9">
        <f t="shared" si="14"/>
        <v>5026.2110091743116</v>
      </c>
      <c r="K25" s="9">
        <f t="shared" si="14"/>
        <v>0</v>
      </c>
      <c r="L25" s="9">
        <f t="shared" si="14"/>
        <v>0</v>
      </c>
      <c r="M25" s="9">
        <f t="shared" si="14"/>
        <v>0</v>
      </c>
      <c r="N25" s="9">
        <f t="shared" si="14"/>
        <v>1</v>
      </c>
      <c r="O25" s="20"/>
      <c r="P25" s="13"/>
    </row>
    <row r="26" spans="1:16" x14ac:dyDescent="0.2">
      <c r="B26" s="16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13"/>
    </row>
    <row r="27" spans="1:16" x14ac:dyDescent="0.2">
      <c r="A27" s="16" t="s">
        <v>53</v>
      </c>
      <c r="B27" s="16" t="s">
        <v>54</v>
      </c>
      <c r="C27" s="20">
        <f t="shared" ref="C27:N27" si="15">C112+C152+C192</f>
        <v>-776374</v>
      </c>
      <c r="D27" s="20">
        <f t="shared" si="15"/>
        <v>-99112</v>
      </c>
      <c r="E27" s="20">
        <f t="shared" si="15"/>
        <v>34167</v>
      </c>
      <c r="F27" s="20">
        <f t="shared" si="15"/>
        <v>143630</v>
      </c>
      <c r="G27" s="20">
        <f t="shared" si="15"/>
        <v>24971</v>
      </c>
      <c r="H27" s="20">
        <f t="shared" si="15"/>
        <v>-235867</v>
      </c>
      <c r="I27" s="20">
        <f t="shared" si="15"/>
        <v>254282</v>
      </c>
      <c r="J27" s="20">
        <f t="shared" si="15"/>
        <v>-335822</v>
      </c>
      <c r="K27" s="20">
        <f t="shared" si="15"/>
        <v>511077</v>
      </c>
      <c r="L27" s="20">
        <f t="shared" si="15"/>
        <v>-49262</v>
      </c>
      <c r="M27" s="20">
        <f t="shared" si="15"/>
        <v>-65677</v>
      </c>
      <c r="N27" s="20">
        <f t="shared" si="15"/>
        <v>504945</v>
      </c>
      <c r="O27" s="20">
        <f>SUM(C27:N27)</f>
        <v>-89042</v>
      </c>
      <c r="P27" s="13">
        <f>O27/O$89</f>
        <v>-3.2668307529839062E-3</v>
      </c>
    </row>
    <row r="28" spans="1:16" x14ac:dyDescent="0.2">
      <c r="B28" s="16"/>
      <c r="C28" s="9">
        <f t="shared" ref="C28:N28" si="16">C27/$O27</f>
        <v>8.7191886974686099</v>
      </c>
      <c r="D28" s="9">
        <f t="shared" si="16"/>
        <v>1.1130926978279914</v>
      </c>
      <c r="E28" s="9">
        <f t="shared" si="16"/>
        <v>-0.38371779609622425</v>
      </c>
      <c r="F28" s="9">
        <f t="shared" si="16"/>
        <v>-1.6130590058624019</v>
      </c>
      <c r="G28" s="9">
        <f t="shared" si="16"/>
        <v>-0.2804406909099077</v>
      </c>
      <c r="H28" s="9">
        <f t="shared" si="16"/>
        <v>2.6489409492149774</v>
      </c>
      <c r="I28" s="9">
        <f t="shared" si="16"/>
        <v>-2.8557534646571283</v>
      </c>
      <c r="J28" s="9">
        <f t="shared" si="16"/>
        <v>3.7715010893735541</v>
      </c>
      <c r="K28" s="9">
        <f t="shared" si="16"/>
        <v>-5.73972956582287</v>
      </c>
      <c r="L28" s="9">
        <f t="shared" si="16"/>
        <v>0.55324453628624692</v>
      </c>
      <c r="M28" s="9">
        <f t="shared" si="16"/>
        <v>0.7375957413355495</v>
      </c>
      <c r="N28" s="9">
        <f t="shared" si="16"/>
        <v>-5.6708631881583971</v>
      </c>
      <c r="O28" s="20"/>
      <c r="P28" s="13"/>
    </row>
    <row r="29" spans="1:16" x14ac:dyDescent="0.2">
      <c r="B29" s="16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13"/>
    </row>
    <row r="30" spans="1:16" x14ac:dyDescent="0.2">
      <c r="A30" s="16" t="s">
        <v>57</v>
      </c>
      <c r="B30" s="16" t="s">
        <v>58</v>
      </c>
      <c r="C30" s="20">
        <f t="shared" ref="C30:N30" si="17">C113+C153+C193</f>
        <v>35639</v>
      </c>
      <c r="D30" s="20">
        <f t="shared" si="17"/>
        <v>49717</v>
      </c>
      <c r="E30" s="20">
        <f t="shared" si="17"/>
        <v>188305</v>
      </c>
      <c r="F30" s="20">
        <f t="shared" si="17"/>
        <v>74499</v>
      </c>
      <c r="G30" s="20">
        <f t="shared" si="17"/>
        <v>53574</v>
      </c>
      <c r="H30" s="20">
        <f t="shared" si="17"/>
        <v>51972</v>
      </c>
      <c r="I30" s="20">
        <f t="shared" si="17"/>
        <v>51955</v>
      </c>
      <c r="J30" s="20">
        <f t="shared" si="17"/>
        <v>-503582</v>
      </c>
      <c r="K30" s="20">
        <f t="shared" si="17"/>
        <v>0</v>
      </c>
      <c r="L30" s="20">
        <f t="shared" si="17"/>
        <v>0</v>
      </c>
      <c r="M30" s="20">
        <f t="shared" si="17"/>
        <v>0</v>
      </c>
      <c r="N30" s="20">
        <f t="shared" si="17"/>
        <v>0</v>
      </c>
      <c r="O30" s="20">
        <f>SUM(C30:N30)</f>
        <v>2079</v>
      </c>
      <c r="P30" s="13">
        <f>O30/O$89</f>
        <v>7.6275702875649025E-5</v>
      </c>
    </row>
    <row r="31" spans="1:16" x14ac:dyDescent="0.2">
      <c r="B31" s="16"/>
      <c r="C31" s="9">
        <f t="shared" ref="C31:N31" si="18">C30/$O30</f>
        <v>17.142376142376143</v>
      </c>
      <c r="D31" s="9">
        <f t="shared" si="18"/>
        <v>23.913900913900914</v>
      </c>
      <c r="E31" s="9">
        <f t="shared" si="18"/>
        <v>90.574795574795573</v>
      </c>
      <c r="F31" s="9">
        <f t="shared" si="18"/>
        <v>35.834054834054832</v>
      </c>
      <c r="G31" s="9">
        <f t="shared" si="18"/>
        <v>25.769119769119769</v>
      </c>
      <c r="H31" s="9">
        <f t="shared" si="18"/>
        <v>24.998556998557</v>
      </c>
      <c r="I31" s="9">
        <f t="shared" si="18"/>
        <v>24.990379990379992</v>
      </c>
      <c r="J31" s="9">
        <f t="shared" si="18"/>
        <v>-242.22318422318423</v>
      </c>
      <c r="K31" s="9">
        <f t="shared" si="18"/>
        <v>0</v>
      </c>
      <c r="L31" s="9">
        <f t="shared" si="18"/>
        <v>0</v>
      </c>
      <c r="M31" s="9">
        <f t="shared" si="18"/>
        <v>0</v>
      </c>
      <c r="N31" s="9">
        <f t="shared" si="18"/>
        <v>0</v>
      </c>
      <c r="O31" s="20"/>
      <c r="P31" s="13"/>
    </row>
    <row r="32" spans="1:16" x14ac:dyDescent="0.2">
      <c r="B32" s="16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13"/>
    </row>
    <row r="33" spans="1:16" x14ac:dyDescent="0.2">
      <c r="A33" s="16" t="s">
        <v>63</v>
      </c>
      <c r="B33" s="16" t="s">
        <v>64</v>
      </c>
      <c r="C33" s="20">
        <f>C114+C154+C194</f>
        <v>513765</v>
      </c>
      <c r="D33" s="20">
        <f t="shared" ref="D33:N33" si="19">D114+D154+D194</f>
        <v>498260</v>
      </c>
      <c r="E33" s="20">
        <f t="shared" si="19"/>
        <v>509386</v>
      </c>
      <c r="F33" s="20">
        <f t="shared" si="19"/>
        <v>564933</v>
      </c>
      <c r="G33" s="20">
        <f t="shared" si="19"/>
        <v>467650</v>
      </c>
      <c r="H33" s="20">
        <f t="shared" si="19"/>
        <v>560852</v>
      </c>
      <c r="I33" s="20">
        <f t="shared" si="19"/>
        <v>506094</v>
      </c>
      <c r="J33" s="20">
        <f t="shared" si="19"/>
        <v>495145</v>
      </c>
      <c r="K33" s="20">
        <f t="shared" si="19"/>
        <v>515697</v>
      </c>
      <c r="L33" s="20">
        <f t="shared" si="19"/>
        <v>536872</v>
      </c>
      <c r="M33" s="20">
        <f t="shared" si="19"/>
        <v>508447</v>
      </c>
      <c r="N33" s="20">
        <f t="shared" si="19"/>
        <v>-4011392</v>
      </c>
      <c r="O33" s="20">
        <f>SUM(C33:N33)</f>
        <v>1665709</v>
      </c>
      <c r="P33" s="13">
        <f>O33/O$89</f>
        <v>6.1112614122796761E-2</v>
      </c>
    </row>
    <row r="34" spans="1:16" x14ac:dyDescent="0.2">
      <c r="B34" s="16"/>
      <c r="C34" s="9">
        <f t="shared" ref="C34:N34" si="20">C33/$O33</f>
        <v>0.3084362274562964</v>
      </c>
      <c r="D34" s="9">
        <f t="shared" si="20"/>
        <v>0.299127878879204</v>
      </c>
      <c r="E34" s="9">
        <f t="shared" si="20"/>
        <v>0.3058073168842817</v>
      </c>
      <c r="F34" s="9">
        <f t="shared" si="20"/>
        <v>0.33915467827813861</v>
      </c>
      <c r="G34" s="9">
        <f t="shared" si="20"/>
        <v>0.28075131970830441</v>
      </c>
      <c r="H34" s="9">
        <f t="shared" si="20"/>
        <v>0.33670467050367142</v>
      </c>
      <c r="I34" s="9">
        <f t="shared" si="20"/>
        <v>0.30383098128184455</v>
      </c>
      <c r="J34" s="9">
        <f t="shared" si="20"/>
        <v>0.29725780433437055</v>
      </c>
      <c r="K34" s="9">
        <f t="shared" si="20"/>
        <v>0.30959609391556386</v>
      </c>
      <c r="L34" s="9">
        <f t="shared" si="20"/>
        <v>0.32230839840572395</v>
      </c>
      <c r="M34" s="9">
        <f t="shared" si="20"/>
        <v>0.30524359296851972</v>
      </c>
      <c r="N34" s="9">
        <f t="shared" si="20"/>
        <v>-2.4082189626159192</v>
      </c>
      <c r="O34" s="20"/>
      <c r="P34" s="13"/>
    </row>
    <row r="35" spans="1:16" x14ac:dyDescent="0.2">
      <c r="B35" s="16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13"/>
    </row>
    <row r="36" spans="1:16" x14ac:dyDescent="0.2">
      <c r="A36" s="16" t="s">
        <v>65</v>
      </c>
      <c r="B36" s="16" t="s">
        <v>66</v>
      </c>
      <c r="C36" s="20">
        <f t="shared" ref="C36:N36" si="21">C115+C155+C195</f>
        <v>456500</v>
      </c>
      <c r="D36" s="20">
        <f t="shared" si="21"/>
        <v>456500</v>
      </c>
      <c r="E36" s="20">
        <f t="shared" si="21"/>
        <v>456500</v>
      </c>
      <c r="F36" s="20">
        <f t="shared" si="21"/>
        <v>456500</v>
      </c>
      <c r="G36" s="20">
        <f t="shared" si="21"/>
        <v>456500</v>
      </c>
      <c r="H36" s="20">
        <f t="shared" si="21"/>
        <v>456500</v>
      </c>
      <c r="I36" s="20">
        <f t="shared" si="21"/>
        <v>456500</v>
      </c>
      <c r="J36" s="20">
        <f t="shared" si="21"/>
        <v>-3195500</v>
      </c>
      <c r="K36" s="20">
        <f t="shared" si="21"/>
        <v>0</v>
      </c>
      <c r="L36" s="20">
        <f t="shared" si="21"/>
        <v>0</v>
      </c>
      <c r="M36" s="20">
        <f t="shared" si="21"/>
        <v>0</v>
      </c>
      <c r="N36" s="20">
        <f t="shared" si="21"/>
        <v>0</v>
      </c>
      <c r="O36" s="20">
        <f>SUM(C36:N36)</f>
        <v>0</v>
      </c>
      <c r="P36" s="13">
        <f>O36/O$89</f>
        <v>0</v>
      </c>
    </row>
    <row r="37" spans="1:16" x14ac:dyDescent="0.2">
      <c r="B37" s="16"/>
      <c r="C37" s="9" t="e">
        <f t="shared" ref="C37:N37" si="22">C36/$O36</f>
        <v>#DIV/0!</v>
      </c>
      <c r="D37" s="9" t="e">
        <f t="shared" si="22"/>
        <v>#DIV/0!</v>
      </c>
      <c r="E37" s="9" t="e">
        <f t="shared" si="22"/>
        <v>#DIV/0!</v>
      </c>
      <c r="F37" s="9" t="e">
        <f t="shared" si="22"/>
        <v>#DIV/0!</v>
      </c>
      <c r="G37" s="9" t="e">
        <f t="shared" si="22"/>
        <v>#DIV/0!</v>
      </c>
      <c r="H37" s="9" t="e">
        <f t="shared" si="22"/>
        <v>#DIV/0!</v>
      </c>
      <c r="I37" s="9" t="e">
        <f t="shared" si="22"/>
        <v>#DIV/0!</v>
      </c>
      <c r="J37" s="9" t="e">
        <f t="shared" si="22"/>
        <v>#DIV/0!</v>
      </c>
      <c r="K37" s="9" t="e">
        <f t="shared" si="22"/>
        <v>#DIV/0!</v>
      </c>
      <c r="L37" s="9" t="e">
        <f t="shared" si="22"/>
        <v>#DIV/0!</v>
      </c>
      <c r="M37" s="9" t="e">
        <f t="shared" si="22"/>
        <v>#DIV/0!</v>
      </c>
      <c r="N37" s="9" t="e">
        <f t="shared" si="22"/>
        <v>#DIV/0!</v>
      </c>
      <c r="O37" s="20"/>
      <c r="P37" s="13"/>
    </row>
    <row r="38" spans="1:16" x14ac:dyDescent="0.2">
      <c r="B38" s="16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13"/>
    </row>
    <row r="39" spans="1:16" x14ac:dyDescent="0.2">
      <c r="A39" s="16" t="s">
        <v>67</v>
      </c>
      <c r="B39" s="16" t="s">
        <v>68</v>
      </c>
      <c r="C39" s="20">
        <f t="shared" ref="C39:N39" si="23">C116+C156+C196</f>
        <v>-4253885</v>
      </c>
      <c r="D39" s="20">
        <f t="shared" si="23"/>
        <v>449334</v>
      </c>
      <c r="E39" s="20">
        <f t="shared" si="23"/>
        <v>467583</v>
      </c>
      <c r="F39" s="20">
        <f t="shared" si="23"/>
        <v>5158635</v>
      </c>
      <c r="G39" s="20">
        <f t="shared" si="23"/>
        <v>455416</v>
      </c>
      <c r="H39" s="20">
        <f t="shared" si="23"/>
        <v>455417</v>
      </c>
      <c r="I39" s="20">
        <f t="shared" si="23"/>
        <v>455417</v>
      </c>
      <c r="J39" s="20">
        <f t="shared" si="23"/>
        <v>455416</v>
      </c>
      <c r="K39" s="20">
        <f t="shared" si="23"/>
        <v>455417</v>
      </c>
      <c r="L39" s="20">
        <f t="shared" si="23"/>
        <v>455417</v>
      </c>
      <c r="M39" s="20">
        <f t="shared" si="23"/>
        <v>0</v>
      </c>
      <c r="N39" s="20">
        <f t="shared" si="23"/>
        <v>2241774</v>
      </c>
      <c r="O39" s="20">
        <f>SUM(C39:N39)</f>
        <v>6795941</v>
      </c>
      <c r="P39" s="13">
        <f>O39/O$89</f>
        <v>0.2493338992190674</v>
      </c>
    </row>
    <row r="40" spans="1:16" x14ac:dyDescent="0.2">
      <c r="B40" s="16"/>
      <c r="C40" s="9">
        <f t="shared" ref="C40:N40" si="24">C39/$O39</f>
        <v>-0.62594495743856515</v>
      </c>
      <c r="D40" s="9">
        <f t="shared" si="24"/>
        <v>6.6117996021448688E-2</v>
      </c>
      <c r="E40" s="9">
        <f t="shared" si="24"/>
        <v>6.8803275366869726E-2</v>
      </c>
      <c r="F40" s="9">
        <f t="shared" si="24"/>
        <v>0.7590758954499458</v>
      </c>
      <c r="G40" s="9">
        <f t="shared" si="24"/>
        <v>6.7012941989931935E-2</v>
      </c>
      <c r="H40" s="9">
        <f t="shared" si="24"/>
        <v>6.701308913658903E-2</v>
      </c>
      <c r="I40" s="9">
        <f t="shared" si="24"/>
        <v>6.701308913658903E-2</v>
      </c>
      <c r="J40" s="9">
        <f t="shared" si="24"/>
        <v>6.7012941989931935E-2</v>
      </c>
      <c r="K40" s="9">
        <f t="shared" si="24"/>
        <v>6.701308913658903E-2</v>
      </c>
      <c r="L40" s="9">
        <f t="shared" si="24"/>
        <v>6.701308913658903E-2</v>
      </c>
      <c r="M40" s="9">
        <f t="shared" si="24"/>
        <v>0</v>
      </c>
      <c r="N40" s="9">
        <f t="shared" si="24"/>
        <v>0.32986955007408097</v>
      </c>
      <c r="O40" s="20"/>
      <c r="P40" s="13"/>
    </row>
    <row r="41" spans="1:16" x14ac:dyDescent="0.2">
      <c r="B41" s="16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13"/>
    </row>
    <row r="42" spans="1:16" x14ac:dyDescent="0.2">
      <c r="A42" s="16" t="s">
        <v>69</v>
      </c>
      <c r="B42" s="16" t="s">
        <v>70</v>
      </c>
      <c r="C42" s="20">
        <f t="shared" ref="C42:N42" si="25">C117+C157+C197</f>
        <v>-41072</v>
      </c>
      <c r="D42" s="20">
        <f t="shared" si="25"/>
        <v>0</v>
      </c>
      <c r="E42" s="20">
        <f t="shared" si="25"/>
        <v>1061735</v>
      </c>
      <c r="F42" s="20">
        <f t="shared" si="25"/>
        <v>1312275</v>
      </c>
      <c r="G42" s="20">
        <f t="shared" si="25"/>
        <v>1103263</v>
      </c>
      <c r="H42" s="20">
        <f t="shared" si="25"/>
        <v>535335</v>
      </c>
      <c r="I42" s="20">
        <f t="shared" si="25"/>
        <v>9056</v>
      </c>
      <c r="J42" s="20">
        <f t="shared" si="25"/>
        <v>293125</v>
      </c>
      <c r="K42" s="20">
        <f t="shared" si="25"/>
        <v>88719</v>
      </c>
      <c r="L42" s="20">
        <f t="shared" si="25"/>
        <v>12302</v>
      </c>
      <c r="M42" s="20">
        <f t="shared" si="25"/>
        <v>0</v>
      </c>
      <c r="N42" s="20">
        <f t="shared" si="25"/>
        <v>0</v>
      </c>
      <c r="O42" s="20">
        <f>SUM(C42:N42)</f>
        <v>4374738</v>
      </c>
      <c r="P42" s="13">
        <f>O42/O$89</f>
        <v>0.16050323032554645</v>
      </c>
    </row>
    <row r="43" spans="1:16" x14ac:dyDescent="0.2">
      <c r="B43" s="16"/>
      <c r="C43" s="9">
        <f t="shared" ref="C43:N43" si="26">C42/$O42</f>
        <v>-9.3884479481971261E-3</v>
      </c>
      <c r="D43" s="9">
        <f t="shared" si="26"/>
        <v>0</v>
      </c>
      <c r="E43" s="9">
        <f t="shared" si="26"/>
        <v>0.24269681978669352</v>
      </c>
      <c r="F43" s="9">
        <f t="shared" si="26"/>
        <v>0.29996653513879001</v>
      </c>
      <c r="G43" s="9">
        <f t="shared" si="26"/>
        <v>0.25218950254849548</v>
      </c>
      <c r="H43" s="9">
        <f t="shared" si="26"/>
        <v>0.12236961390602134</v>
      </c>
      <c r="I43" s="9">
        <f t="shared" si="26"/>
        <v>2.0700668245732658E-3</v>
      </c>
      <c r="J43" s="9">
        <f t="shared" si="26"/>
        <v>6.7004012583153555E-2</v>
      </c>
      <c r="K43" s="9">
        <f t="shared" si="26"/>
        <v>2.0279843044314884E-2</v>
      </c>
      <c r="L43" s="9">
        <f t="shared" si="26"/>
        <v>2.8120541161550704E-3</v>
      </c>
      <c r="M43" s="9">
        <f t="shared" si="26"/>
        <v>0</v>
      </c>
      <c r="N43" s="9">
        <f t="shared" si="26"/>
        <v>0</v>
      </c>
      <c r="O43" s="20"/>
      <c r="P43" s="13"/>
    </row>
    <row r="44" spans="1:16" x14ac:dyDescent="0.2">
      <c r="B44" s="16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13"/>
    </row>
    <row r="45" spans="1:16" x14ac:dyDescent="0.2">
      <c r="A45" s="16" t="s">
        <v>71</v>
      </c>
      <c r="B45" s="16" t="s">
        <v>72</v>
      </c>
      <c r="C45" s="20">
        <f t="shared" ref="C45:N45" si="27">C118+C158+C198</f>
        <v>1319639</v>
      </c>
      <c r="D45" s="20">
        <f t="shared" si="27"/>
        <v>2418510</v>
      </c>
      <c r="E45" s="20">
        <f t="shared" si="27"/>
        <v>785712</v>
      </c>
      <c r="F45" s="20">
        <f t="shared" si="27"/>
        <v>527812</v>
      </c>
      <c r="G45" s="20">
        <f t="shared" si="27"/>
        <v>952058</v>
      </c>
      <c r="H45" s="20">
        <f t="shared" si="27"/>
        <v>584679</v>
      </c>
      <c r="I45" s="20">
        <f t="shared" si="27"/>
        <v>318645</v>
      </c>
      <c r="J45" s="20">
        <f t="shared" si="27"/>
        <v>-1806202</v>
      </c>
      <c r="K45" s="20">
        <f t="shared" si="27"/>
        <v>0</v>
      </c>
      <c r="L45" s="20">
        <f t="shared" si="27"/>
        <v>9460</v>
      </c>
      <c r="M45" s="20">
        <f t="shared" si="27"/>
        <v>0</v>
      </c>
      <c r="N45" s="20">
        <f t="shared" si="27"/>
        <v>0</v>
      </c>
      <c r="O45" s="20">
        <f>SUM(C45:N45)</f>
        <v>5110313</v>
      </c>
      <c r="P45" s="13">
        <f>O45/O$89</f>
        <v>0.18749048388146544</v>
      </c>
    </row>
    <row r="46" spans="1:16" x14ac:dyDescent="0.2">
      <c r="B46" s="16"/>
      <c r="C46" s="9">
        <f t="shared" ref="C46:N46" si="28">C45/$O45</f>
        <v>0.2582305623941234</v>
      </c>
      <c r="D46" s="9">
        <f t="shared" si="28"/>
        <v>0.47326063980816829</v>
      </c>
      <c r="E46" s="9">
        <f t="shared" si="28"/>
        <v>0.15375026930835745</v>
      </c>
      <c r="F46" s="9">
        <f t="shared" si="28"/>
        <v>0.10328369319061279</v>
      </c>
      <c r="G46" s="9">
        <f t="shared" si="28"/>
        <v>0.18630130874566783</v>
      </c>
      <c r="H46" s="9">
        <f t="shared" si="28"/>
        <v>0.11441158300871199</v>
      </c>
      <c r="I46" s="9">
        <f t="shared" si="28"/>
        <v>6.2353323563546892E-2</v>
      </c>
      <c r="J46" s="9">
        <f t="shared" si="28"/>
        <v>-0.35344253864684999</v>
      </c>
      <c r="K46" s="9">
        <f t="shared" si="28"/>
        <v>0</v>
      </c>
      <c r="L46" s="9">
        <f t="shared" si="28"/>
        <v>1.8511586276613585E-3</v>
      </c>
      <c r="M46" s="9">
        <f t="shared" si="28"/>
        <v>0</v>
      </c>
      <c r="N46" s="9">
        <f t="shared" si="28"/>
        <v>0</v>
      </c>
      <c r="O46" s="20"/>
      <c r="P46" s="13"/>
    </row>
    <row r="47" spans="1:16" x14ac:dyDescent="0.2">
      <c r="B47" s="16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13"/>
    </row>
    <row r="48" spans="1:16" x14ac:dyDescent="0.2">
      <c r="A48" s="16" t="s">
        <v>73</v>
      </c>
      <c r="B48" s="16" t="s">
        <v>74</v>
      </c>
      <c r="C48" s="20">
        <f t="shared" ref="C48:N48" si="29">C119+C159+C199</f>
        <v>556857</v>
      </c>
      <c r="D48" s="20">
        <f t="shared" si="29"/>
        <v>2146332</v>
      </c>
      <c r="E48" s="20">
        <f t="shared" si="29"/>
        <v>854374</v>
      </c>
      <c r="F48" s="20">
        <f t="shared" si="29"/>
        <v>0</v>
      </c>
      <c r="G48" s="20">
        <f t="shared" si="29"/>
        <v>0</v>
      </c>
      <c r="H48" s="20">
        <f t="shared" si="29"/>
        <v>203913</v>
      </c>
      <c r="I48" s="20">
        <f t="shared" si="29"/>
        <v>0</v>
      </c>
      <c r="J48" s="20">
        <f t="shared" si="29"/>
        <v>-3761476</v>
      </c>
      <c r="K48" s="20">
        <f t="shared" si="29"/>
        <v>0</v>
      </c>
      <c r="L48" s="20">
        <f t="shared" si="29"/>
        <v>0</v>
      </c>
      <c r="M48" s="20">
        <f t="shared" si="29"/>
        <v>0</v>
      </c>
      <c r="N48" s="20">
        <f t="shared" si="29"/>
        <v>0</v>
      </c>
      <c r="O48" s="20">
        <f>SUM(C48:N48)</f>
        <v>0</v>
      </c>
      <c r="P48" s="13">
        <f>O48/O$89</f>
        <v>0</v>
      </c>
    </row>
    <row r="49" spans="1:16" x14ac:dyDescent="0.2">
      <c r="B49" s="16"/>
      <c r="C49" s="9" t="e">
        <f t="shared" ref="C49:N49" si="30">C48/$O48</f>
        <v>#DIV/0!</v>
      </c>
      <c r="D49" s="9" t="e">
        <f t="shared" si="30"/>
        <v>#DIV/0!</v>
      </c>
      <c r="E49" s="9" t="e">
        <f t="shared" si="30"/>
        <v>#DIV/0!</v>
      </c>
      <c r="F49" s="9" t="e">
        <f t="shared" si="30"/>
        <v>#DIV/0!</v>
      </c>
      <c r="G49" s="9" t="e">
        <f t="shared" si="30"/>
        <v>#DIV/0!</v>
      </c>
      <c r="H49" s="9" t="e">
        <f t="shared" si="30"/>
        <v>#DIV/0!</v>
      </c>
      <c r="I49" s="9" t="e">
        <f t="shared" si="30"/>
        <v>#DIV/0!</v>
      </c>
      <c r="J49" s="9" t="e">
        <f t="shared" si="30"/>
        <v>#DIV/0!</v>
      </c>
      <c r="K49" s="9" t="e">
        <f t="shared" si="30"/>
        <v>#DIV/0!</v>
      </c>
      <c r="L49" s="9" t="e">
        <f t="shared" si="30"/>
        <v>#DIV/0!</v>
      </c>
      <c r="M49" s="9" t="e">
        <f t="shared" si="30"/>
        <v>#DIV/0!</v>
      </c>
      <c r="N49" s="9" t="e">
        <f t="shared" si="30"/>
        <v>#DIV/0!</v>
      </c>
      <c r="O49" s="20"/>
      <c r="P49" s="13"/>
    </row>
    <row r="50" spans="1:16" x14ac:dyDescent="0.2">
      <c r="B50" s="16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20"/>
      <c r="P50" s="13"/>
    </row>
    <row r="51" spans="1:16" x14ac:dyDescent="0.2">
      <c r="A51" s="16" t="s">
        <v>79</v>
      </c>
      <c r="B51" s="16" t="s">
        <v>80</v>
      </c>
      <c r="C51" s="20">
        <f t="shared" ref="C51:N51" si="31">C120+C160+C200</f>
        <v>806757</v>
      </c>
      <c r="D51" s="20">
        <f t="shared" si="31"/>
        <v>405711</v>
      </c>
      <c r="E51" s="20">
        <f t="shared" si="31"/>
        <v>3786811</v>
      </c>
      <c r="F51" s="20">
        <f t="shared" si="31"/>
        <v>352347</v>
      </c>
      <c r="G51" s="20">
        <f t="shared" si="31"/>
        <v>355675</v>
      </c>
      <c r="H51" s="20">
        <f t="shared" si="31"/>
        <v>504448</v>
      </c>
      <c r="I51" s="20">
        <f t="shared" si="31"/>
        <v>731331</v>
      </c>
      <c r="J51" s="20">
        <f t="shared" si="31"/>
        <v>909659</v>
      </c>
      <c r="K51" s="20">
        <f t="shared" si="31"/>
        <v>838491</v>
      </c>
      <c r="L51" s="20">
        <f t="shared" si="31"/>
        <v>964675</v>
      </c>
      <c r="M51" s="20">
        <f t="shared" si="31"/>
        <v>994042</v>
      </c>
      <c r="N51" s="20">
        <f t="shared" si="31"/>
        <v>1943644</v>
      </c>
      <c r="O51" s="20">
        <f>SUM(C51:N51)</f>
        <v>12593591</v>
      </c>
      <c r="P51" s="13">
        <f>O51/O$89</f>
        <v>0.46204184956875793</v>
      </c>
    </row>
    <row r="52" spans="1:16" x14ac:dyDescent="0.2">
      <c r="B52" s="16"/>
      <c r="C52" s="9">
        <f t="shared" ref="C52:N52" si="32">C51/$O51</f>
        <v>6.4060917970100828E-2</v>
      </c>
      <c r="D52" s="9">
        <f t="shared" si="32"/>
        <v>3.2215672241539366E-2</v>
      </c>
      <c r="E52" s="9">
        <f t="shared" si="32"/>
        <v>0.30069350354477925</v>
      </c>
      <c r="F52" s="9">
        <f t="shared" si="32"/>
        <v>2.797827879276054E-2</v>
      </c>
      <c r="G52" s="9">
        <f t="shared" si="32"/>
        <v>2.8242540193658822E-2</v>
      </c>
      <c r="H52" s="9">
        <f t="shared" si="32"/>
        <v>4.0055930036158871E-2</v>
      </c>
      <c r="I52" s="9">
        <f t="shared" si="32"/>
        <v>5.80716810638046E-2</v>
      </c>
      <c r="J52" s="9">
        <f t="shared" si="32"/>
        <v>7.2231899543188274E-2</v>
      </c>
      <c r="K52" s="9">
        <f t="shared" si="32"/>
        <v>6.6580771123978852E-2</v>
      </c>
      <c r="L52" s="9">
        <f t="shared" si="32"/>
        <v>7.6600470826788003E-2</v>
      </c>
      <c r="M52" s="9">
        <f t="shared" si="32"/>
        <v>7.8932371235495902E-2</v>
      </c>
      <c r="N52" s="9">
        <f t="shared" si="32"/>
        <v>0.15433596342774669</v>
      </c>
      <c r="O52" s="20"/>
      <c r="P52" s="13"/>
    </row>
    <row r="53" spans="1:16" x14ac:dyDescent="0.2">
      <c r="B53" s="16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13"/>
    </row>
    <row r="54" spans="1:16" x14ac:dyDescent="0.2">
      <c r="A54" s="16" t="s">
        <v>81</v>
      </c>
      <c r="B54" s="16" t="s">
        <v>82</v>
      </c>
      <c r="C54" s="20">
        <f t="shared" ref="C54:N54" si="33">C121+C161+C201</f>
        <v>528830</v>
      </c>
      <c r="D54" s="20">
        <f t="shared" si="33"/>
        <v>1447598</v>
      </c>
      <c r="E54" s="20">
        <f t="shared" si="33"/>
        <v>1098900</v>
      </c>
      <c r="F54" s="20">
        <f t="shared" si="33"/>
        <v>945088</v>
      </c>
      <c r="G54" s="20">
        <f t="shared" si="33"/>
        <v>1037847</v>
      </c>
      <c r="H54" s="20">
        <f t="shared" si="33"/>
        <v>1826934</v>
      </c>
      <c r="I54" s="20">
        <f t="shared" si="33"/>
        <v>2899139</v>
      </c>
      <c r="J54" s="20">
        <f t="shared" si="33"/>
        <v>-9713814</v>
      </c>
      <c r="K54" s="20">
        <f t="shared" si="33"/>
        <v>0</v>
      </c>
      <c r="L54" s="20">
        <f t="shared" si="33"/>
        <v>-70</v>
      </c>
      <c r="M54" s="20">
        <f t="shared" si="33"/>
        <v>0</v>
      </c>
      <c r="N54" s="20">
        <f t="shared" si="33"/>
        <v>11</v>
      </c>
      <c r="O54" s="20">
        <f>SUM(C54:N54)</f>
        <v>70463</v>
      </c>
      <c r="P54" s="13">
        <f>P95</f>
        <v>2.6057071061404355E-3</v>
      </c>
    </row>
    <row r="55" spans="1:16" x14ac:dyDescent="0.2">
      <c r="B55" s="16"/>
      <c r="C55" s="9">
        <f t="shared" ref="C55:N55" si="34">C54/$O54</f>
        <v>7.5050735847182208</v>
      </c>
      <c r="D55" s="9">
        <f t="shared" si="34"/>
        <v>20.544086967628402</v>
      </c>
      <c r="E55" s="9">
        <f t="shared" si="34"/>
        <v>15.595418872315967</v>
      </c>
      <c r="F55" s="9">
        <f t="shared" si="34"/>
        <v>13.412542752934163</v>
      </c>
      <c r="G55" s="9">
        <f t="shared" si="34"/>
        <v>14.728964137206761</v>
      </c>
      <c r="H55" s="9">
        <f t="shared" si="34"/>
        <v>25.927564821253707</v>
      </c>
      <c r="I55" s="9">
        <f t="shared" si="34"/>
        <v>41.144132381533574</v>
      </c>
      <c r="J55" s="9">
        <f t="shared" si="34"/>
        <v>-137.85694619871421</v>
      </c>
      <c r="K55" s="9">
        <f t="shared" si="34"/>
        <v>0</v>
      </c>
      <c r="L55" s="9">
        <f t="shared" si="34"/>
        <v>-9.9342917559570279E-4</v>
      </c>
      <c r="M55" s="9">
        <f t="shared" si="34"/>
        <v>0</v>
      </c>
      <c r="N55" s="9">
        <f t="shared" si="34"/>
        <v>1.5611029902218185E-4</v>
      </c>
      <c r="O55" s="20"/>
      <c r="P55" s="13"/>
    </row>
    <row r="56" spans="1:16" x14ac:dyDescent="0.2">
      <c r="B56" s="16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13"/>
    </row>
    <row r="57" spans="1:16" x14ac:dyDescent="0.2">
      <c r="A57" s="16" t="s">
        <v>83</v>
      </c>
      <c r="B57" s="16" t="s">
        <v>84</v>
      </c>
      <c r="C57" s="20">
        <f t="shared" ref="C57:N57" si="35">C122+C162+C202</f>
        <v>-85576</v>
      </c>
      <c r="D57" s="20">
        <f t="shared" si="35"/>
        <v>123929</v>
      </c>
      <c r="E57" s="20">
        <f t="shared" si="35"/>
        <v>124815</v>
      </c>
      <c r="F57" s="20">
        <f t="shared" si="35"/>
        <v>114826</v>
      </c>
      <c r="G57" s="20">
        <f t="shared" si="35"/>
        <v>201577</v>
      </c>
      <c r="H57" s="20">
        <f t="shared" si="35"/>
        <v>226590</v>
      </c>
      <c r="I57" s="20">
        <f t="shared" si="35"/>
        <v>212313</v>
      </c>
      <c r="J57" s="20">
        <f t="shared" si="35"/>
        <v>115694</v>
      </c>
      <c r="K57" s="20">
        <f t="shared" si="35"/>
        <v>211157</v>
      </c>
      <c r="L57" s="20">
        <f t="shared" si="35"/>
        <v>150493</v>
      </c>
      <c r="M57" s="20">
        <f t="shared" si="35"/>
        <v>142767</v>
      </c>
      <c r="N57" s="20">
        <f t="shared" si="35"/>
        <v>425524</v>
      </c>
      <c r="O57" s="20">
        <f>SUM(C57:N57)</f>
        <v>1964109</v>
      </c>
      <c r="P57" s="13">
        <f>P97</f>
        <v>7.2632342910951622E-2</v>
      </c>
    </row>
    <row r="58" spans="1:16" x14ac:dyDescent="0.2">
      <c r="B58" s="16"/>
      <c r="C58" s="9">
        <f t="shared" ref="C58:N58" si="36">C57/$O57</f>
        <v>-4.3569883341504981E-2</v>
      </c>
      <c r="D58" s="9">
        <f t="shared" si="36"/>
        <v>6.3096803690630199E-2</v>
      </c>
      <c r="E58" s="9">
        <f t="shared" si="36"/>
        <v>6.3547898818242771E-2</v>
      </c>
      <c r="F58" s="9">
        <f t="shared" si="36"/>
        <v>5.8462132193274403E-2</v>
      </c>
      <c r="G58" s="9">
        <f t="shared" si="36"/>
        <v>0.10263025117241456</v>
      </c>
      <c r="H58" s="9">
        <f t="shared" si="36"/>
        <v>0.11536528777170717</v>
      </c>
      <c r="I58" s="9">
        <f t="shared" si="36"/>
        <v>0.10809634292190505</v>
      </c>
      <c r="J58" s="9">
        <f t="shared" si="36"/>
        <v>5.8904062860055117E-2</v>
      </c>
      <c r="K58" s="9">
        <f t="shared" si="36"/>
        <v>0.1075077808818146</v>
      </c>
      <c r="L58" s="9">
        <f t="shared" si="36"/>
        <v>7.662151133160125E-2</v>
      </c>
      <c r="M58" s="9">
        <f t="shared" si="36"/>
        <v>7.2687921087882593E-2</v>
      </c>
      <c r="N58" s="9">
        <f t="shared" si="36"/>
        <v>0.21664989061197723</v>
      </c>
      <c r="O58" s="20"/>
      <c r="P58" s="13"/>
    </row>
    <row r="59" spans="1:16" x14ac:dyDescent="0.2">
      <c r="B59" s="16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13"/>
    </row>
    <row r="60" spans="1:16" x14ac:dyDescent="0.2">
      <c r="A60" s="16" t="s">
        <v>85</v>
      </c>
      <c r="B60" s="16" t="s">
        <v>86</v>
      </c>
      <c r="C60" s="20">
        <f t="shared" ref="C60:N60" si="37">C123+C163+C203</f>
        <v>-133811</v>
      </c>
      <c r="D60" s="20">
        <f t="shared" si="37"/>
        <v>8767</v>
      </c>
      <c r="E60" s="20">
        <f t="shared" si="37"/>
        <v>62398</v>
      </c>
      <c r="F60" s="20">
        <f t="shared" si="37"/>
        <v>670437</v>
      </c>
      <c r="G60" s="20">
        <f t="shared" si="37"/>
        <v>18302</v>
      </c>
      <c r="H60" s="20">
        <f t="shared" si="37"/>
        <v>1440</v>
      </c>
      <c r="I60" s="20">
        <f t="shared" si="37"/>
        <v>329576</v>
      </c>
      <c r="J60" s="20">
        <f t="shared" si="37"/>
        <v>-1076684</v>
      </c>
      <c r="K60" s="20">
        <f t="shared" si="37"/>
        <v>0</v>
      </c>
      <c r="L60" s="20">
        <f t="shared" si="37"/>
        <v>0</v>
      </c>
      <c r="M60" s="20">
        <f t="shared" si="37"/>
        <v>0</v>
      </c>
      <c r="N60" s="20">
        <f t="shared" si="37"/>
        <v>-70672</v>
      </c>
      <c r="O60" s="20">
        <f>SUM(C60:N60)</f>
        <v>-190247</v>
      </c>
      <c r="P60" s="13">
        <f>O60/O$89</f>
        <v>-6.9799055531426651E-3</v>
      </c>
    </row>
    <row r="61" spans="1:16" x14ac:dyDescent="0.2">
      <c r="B61" s="16"/>
      <c r="C61" s="9">
        <f t="shared" ref="C61:N61" si="38">C60/$O60</f>
        <v>0.70335406077362583</v>
      </c>
      <c r="D61" s="9">
        <f t="shared" si="38"/>
        <v>-4.6082198405231097E-2</v>
      </c>
      <c r="E61" s="9">
        <f t="shared" si="38"/>
        <v>-0.32798414692478722</v>
      </c>
      <c r="F61" s="9">
        <f t="shared" si="38"/>
        <v>-3.5240345445657488</v>
      </c>
      <c r="G61" s="9">
        <f t="shared" si="38"/>
        <v>-9.6201254159066898E-2</v>
      </c>
      <c r="H61" s="9">
        <f t="shared" si="38"/>
        <v>-7.5691075286338288E-3</v>
      </c>
      <c r="I61" s="9">
        <f t="shared" si="38"/>
        <v>-1.7323584603173769</v>
      </c>
      <c r="J61" s="9">
        <f t="shared" si="38"/>
        <v>5.6594006738608229</v>
      </c>
      <c r="K61" s="9">
        <f t="shared" si="38"/>
        <v>0</v>
      </c>
      <c r="L61" s="9">
        <f t="shared" si="38"/>
        <v>0</v>
      </c>
      <c r="M61" s="9">
        <f t="shared" si="38"/>
        <v>0</v>
      </c>
      <c r="N61" s="9">
        <f t="shared" si="38"/>
        <v>0.37147497726639578</v>
      </c>
      <c r="O61" s="20"/>
      <c r="P61" s="13"/>
    </row>
    <row r="62" spans="1:16" x14ac:dyDescent="0.2">
      <c r="B62" s="16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13"/>
    </row>
    <row r="63" spans="1:16" x14ac:dyDescent="0.2">
      <c r="A63" s="16" t="s">
        <v>87</v>
      </c>
      <c r="B63" s="16" t="s">
        <v>88</v>
      </c>
      <c r="C63" s="20">
        <f t="shared" ref="C63:N63" si="39">C124+C164+C204</f>
        <v>0</v>
      </c>
      <c r="D63" s="20">
        <f t="shared" si="39"/>
        <v>191285</v>
      </c>
      <c r="E63" s="20">
        <f t="shared" si="39"/>
        <v>-189455</v>
      </c>
      <c r="F63" s="20">
        <f t="shared" si="39"/>
        <v>1447</v>
      </c>
      <c r="G63" s="20">
        <f t="shared" si="39"/>
        <v>557005</v>
      </c>
      <c r="H63" s="20">
        <f t="shared" si="39"/>
        <v>0</v>
      </c>
      <c r="I63" s="20">
        <f t="shared" si="39"/>
        <v>0</v>
      </c>
      <c r="J63" s="20">
        <f t="shared" si="39"/>
        <v>132400</v>
      </c>
      <c r="K63" s="20">
        <f t="shared" si="39"/>
        <v>0</v>
      </c>
      <c r="L63" s="20">
        <f t="shared" si="39"/>
        <v>18974</v>
      </c>
      <c r="M63" s="20">
        <f t="shared" si="39"/>
        <v>0</v>
      </c>
      <c r="N63" s="20">
        <f t="shared" si="39"/>
        <v>-132400</v>
      </c>
      <c r="O63" s="20">
        <f>SUM(C63:N63)</f>
        <v>579256</v>
      </c>
      <c r="P63" s="13">
        <f>O63/O$89</f>
        <v>2.1252120512235188E-2</v>
      </c>
    </row>
    <row r="64" spans="1:16" x14ac:dyDescent="0.2">
      <c r="B64" s="16"/>
      <c r="C64" s="9">
        <f t="shared" ref="C64:N64" si="40">C63/$O63</f>
        <v>0</v>
      </c>
      <c r="D64" s="9">
        <f t="shared" si="40"/>
        <v>0.33022532351844436</v>
      </c>
      <c r="E64" s="9">
        <f t="shared" si="40"/>
        <v>-0.32706609858162883</v>
      </c>
      <c r="F64" s="9">
        <f t="shared" si="40"/>
        <v>2.498031958236082E-3</v>
      </c>
      <c r="G64" s="9">
        <f t="shared" si="40"/>
        <v>0.96158693220268754</v>
      </c>
      <c r="H64" s="9">
        <f t="shared" si="40"/>
        <v>0</v>
      </c>
      <c r="I64" s="9">
        <f t="shared" si="40"/>
        <v>0</v>
      </c>
      <c r="J64" s="9">
        <f t="shared" si="40"/>
        <v>0.22856906100238927</v>
      </c>
      <c r="K64" s="9">
        <f t="shared" si="40"/>
        <v>0</v>
      </c>
      <c r="L64" s="9">
        <f t="shared" si="40"/>
        <v>3.2755810902260832E-2</v>
      </c>
      <c r="M64" s="9">
        <f t="shared" si="40"/>
        <v>0</v>
      </c>
      <c r="N64" s="9">
        <f t="shared" si="40"/>
        <v>-0.22856906100238927</v>
      </c>
      <c r="O64" s="20"/>
      <c r="P64" s="13"/>
    </row>
    <row r="65" spans="1:16" x14ac:dyDescent="0.2">
      <c r="B65" s="16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13"/>
    </row>
    <row r="66" spans="1:16" x14ac:dyDescent="0.2">
      <c r="A66" s="16" t="s">
        <v>89</v>
      </c>
      <c r="B66" s="16" t="s">
        <v>90</v>
      </c>
      <c r="C66" s="20">
        <f t="shared" ref="C66:N66" si="41">C125+C165+C205</f>
        <v>1703</v>
      </c>
      <c r="D66" s="20">
        <f t="shared" si="41"/>
        <v>8306</v>
      </c>
      <c r="E66" s="20">
        <f t="shared" si="41"/>
        <v>38</v>
      </c>
      <c r="F66" s="20">
        <f t="shared" si="41"/>
        <v>0</v>
      </c>
      <c r="G66" s="20">
        <f t="shared" si="41"/>
        <v>432839</v>
      </c>
      <c r="H66" s="20">
        <f t="shared" si="41"/>
        <v>656483</v>
      </c>
      <c r="I66" s="20">
        <f t="shared" si="41"/>
        <v>-154523</v>
      </c>
      <c r="J66" s="20">
        <f t="shared" si="41"/>
        <v>-1177837</v>
      </c>
      <c r="K66" s="20">
        <f t="shared" si="41"/>
        <v>0</v>
      </c>
      <c r="L66" s="20">
        <f t="shared" si="41"/>
        <v>0</v>
      </c>
      <c r="M66" s="20">
        <f t="shared" si="41"/>
        <v>0</v>
      </c>
      <c r="N66" s="20">
        <f t="shared" si="41"/>
        <v>-470</v>
      </c>
      <c r="O66" s="20">
        <f>SUM(C66:N66)</f>
        <v>-233461</v>
      </c>
      <c r="P66" s="13">
        <f>O66/O$89</f>
        <v>-8.5653688643828278E-3</v>
      </c>
    </row>
    <row r="67" spans="1:16" x14ac:dyDescent="0.2">
      <c r="B67" s="16"/>
      <c r="C67" s="9">
        <f t="shared" ref="C67:N67" si="42">C66/$O66</f>
        <v>-7.2945802510911888E-3</v>
      </c>
      <c r="D67" s="9">
        <f t="shared" si="42"/>
        <v>-3.5577676785415978E-2</v>
      </c>
      <c r="E67" s="9">
        <f t="shared" si="42"/>
        <v>-1.627680854618116E-4</v>
      </c>
      <c r="F67" s="9">
        <f t="shared" si="42"/>
        <v>0</v>
      </c>
      <c r="G67" s="9">
        <f t="shared" si="42"/>
        <v>-1.8540098774527651</v>
      </c>
      <c r="H67" s="9">
        <f t="shared" si="42"/>
        <v>-2.8119600275849073</v>
      </c>
      <c r="I67" s="9">
        <f t="shared" si="42"/>
        <v>0.66187928604777668</v>
      </c>
      <c r="J67" s="9">
        <f t="shared" si="42"/>
        <v>5.0451124598969423</v>
      </c>
      <c r="K67" s="9">
        <f t="shared" si="42"/>
        <v>0</v>
      </c>
      <c r="L67" s="9">
        <f t="shared" si="42"/>
        <v>0</v>
      </c>
      <c r="M67" s="9">
        <f t="shared" si="42"/>
        <v>0</v>
      </c>
      <c r="N67" s="9">
        <f t="shared" si="42"/>
        <v>2.0131842149224066E-3</v>
      </c>
      <c r="O67" s="20"/>
      <c r="P67" s="13"/>
    </row>
    <row r="68" spans="1:16" x14ac:dyDescent="0.2">
      <c r="B68" s="16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13"/>
    </row>
    <row r="69" spans="1:16" x14ac:dyDescent="0.2">
      <c r="A69" s="16" t="s">
        <v>93</v>
      </c>
      <c r="B69" s="16" t="s">
        <v>94</v>
      </c>
      <c r="C69" s="20">
        <f t="shared" ref="C69:N69" si="43">C126+C166+C206</f>
        <v>-470</v>
      </c>
      <c r="D69" s="20">
        <f t="shared" si="43"/>
        <v>1848</v>
      </c>
      <c r="E69" s="20">
        <f t="shared" si="43"/>
        <v>0</v>
      </c>
      <c r="F69" s="20">
        <f t="shared" si="43"/>
        <v>115005</v>
      </c>
      <c r="G69" s="20">
        <f t="shared" si="43"/>
        <v>152146</v>
      </c>
      <c r="H69" s="20">
        <f t="shared" si="43"/>
        <v>309920</v>
      </c>
      <c r="I69" s="20">
        <f t="shared" si="43"/>
        <v>129</v>
      </c>
      <c r="J69" s="20">
        <f t="shared" si="43"/>
        <v>342</v>
      </c>
      <c r="K69" s="20">
        <f t="shared" si="43"/>
        <v>1266247</v>
      </c>
      <c r="L69" s="20">
        <f t="shared" si="43"/>
        <v>11105</v>
      </c>
      <c r="M69" s="20">
        <f t="shared" si="43"/>
        <v>-1265512</v>
      </c>
      <c r="N69" s="20">
        <f t="shared" si="43"/>
        <v>-11840</v>
      </c>
      <c r="O69" s="20">
        <f>SUM(C69:N69)</f>
        <v>578920</v>
      </c>
      <c r="P69" s="13">
        <f>O69/O$89</f>
        <v>2.123979312591185E-2</v>
      </c>
    </row>
    <row r="70" spans="1:16" x14ac:dyDescent="0.2">
      <c r="B70" s="16"/>
      <c r="C70" s="9">
        <f t="shared" ref="C70:N70" si="44">C69/$O69</f>
        <v>-8.118565604919505E-4</v>
      </c>
      <c r="D70" s="9">
        <f t="shared" si="44"/>
        <v>3.1921509016789884E-3</v>
      </c>
      <c r="E70" s="9">
        <f t="shared" si="44"/>
        <v>0</v>
      </c>
      <c r="F70" s="9">
        <f t="shared" si="44"/>
        <v>0.19865439093484419</v>
      </c>
      <c r="G70" s="9">
        <f t="shared" si="44"/>
        <v>0.26281006011193259</v>
      </c>
      <c r="H70" s="9">
        <f t="shared" si="44"/>
        <v>0.53534167069716021</v>
      </c>
      <c r="I70" s="9">
        <f t="shared" si="44"/>
        <v>2.2282871553928004E-4</v>
      </c>
      <c r="J70" s="9">
        <f t="shared" si="44"/>
        <v>5.907551993366959E-4</v>
      </c>
      <c r="K70" s="9">
        <f t="shared" si="44"/>
        <v>2.1872573067090446</v>
      </c>
      <c r="L70" s="9">
        <f t="shared" si="44"/>
        <v>1.9182270434602362E-2</v>
      </c>
      <c r="M70" s="9">
        <f t="shared" si="44"/>
        <v>-2.1859877012367859</v>
      </c>
      <c r="N70" s="9">
        <f t="shared" si="44"/>
        <v>-2.0451875906861053E-2</v>
      </c>
      <c r="O70" s="20"/>
      <c r="P70" s="13"/>
    </row>
    <row r="71" spans="1:16" x14ac:dyDescent="0.2">
      <c r="B71" s="16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13"/>
    </row>
    <row r="72" spans="1:16" x14ac:dyDescent="0.2">
      <c r="A72" s="16" t="s">
        <v>95</v>
      </c>
      <c r="B72" s="16" t="s">
        <v>96</v>
      </c>
      <c r="C72" s="20">
        <f>C127+C167+C207</f>
        <v>0</v>
      </c>
      <c r="D72" s="20">
        <f t="shared" ref="D72:N72" si="45">D127+D167+D207</f>
        <v>0</v>
      </c>
      <c r="E72" s="20">
        <f t="shared" si="45"/>
        <v>0</v>
      </c>
      <c r="F72" s="20">
        <f t="shared" si="45"/>
        <v>-15714</v>
      </c>
      <c r="G72" s="20">
        <f t="shared" si="45"/>
        <v>-2807</v>
      </c>
      <c r="H72" s="20">
        <f t="shared" si="45"/>
        <v>-5634</v>
      </c>
      <c r="I72" s="20">
        <f t="shared" si="45"/>
        <v>-2233</v>
      </c>
      <c r="J72" s="20">
        <f t="shared" si="45"/>
        <v>0</v>
      </c>
      <c r="K72" s="20">
        <f t="shared" si="45"/>
        <v>-412</v>
      </c>
      <c r="L72" s="20">
        <f t="shared" si="45"/>
        <v>-8312</v>
      </c>
      <c r="M72" s="20">
        <f t="shared" si="45"/>
        <v>-6618</v>
      </c>
      <c r="N72" s="20">
        <f t="shared" si="45"/>
        <v>-224935</v>
      </c>
      <c r="O72" s="20">
        <f>SUM(C72:N72)</f>
        <v>-266665</v>
      </c>
      <c r="P72" s="13">
        <f>O72/O$89</f>
        <v>-9.7835787914069012E-3</v>
      </c>
    </row>
    <row r="73" spans="1:16" x14ac:dyDescent="0.2">
      <c r="B73" s="16"/>
      <c r="C73" s="9">
        <f t="shared" ref="C73:N73" si="46">C72/$O72</f>
        <v>0</v>
      </c>
      <c r="D73" s="9">
        <f t="shared" si="46"/>
        <v>0</v>
      </c>
      <c r="E73" s="9">
        <f t="shared" si="46"/>
        <v>0</v>
      </c>
      <c r="F73" s="9">
        <f t="shared" si="46"/>
        <v>5.8927868299176872E-2</v>
      </c>
      <c r="G73" s="9">
        <f t="shared" si="46"/>
        <v>1.0526315789473684E-2</v>
      </c>
      <c r="H73" s="9">
        <f t="shared" si="46"/>
        <v>2.1127632047700299E-2</v>
      </c>
      <c r="I73" s="9">
        <f t="shared" si="46"/>
        <v>8.3738023362646009E-3</v>
      </c>
      <c r="J73" s="9">
        <f t="shared" si="46"/>
        <v>0</v>
      </c>
      <c r="K73" s="9">
        <f t="shared" si="46"/>
        <v>1.545009656310352E-3</v>
      </c>
      <c r="L73" s="9">
        <f t="shared" si="46"/>
        <v>3.1170194813717585E-2</v>
      </c>
      <c r="M73" s="9">
        <f t="shared" si="46"/>
        <v>2.4817655110344439E-2</v>
      </c>
      <c r="N73" s="9">
        <f t="shared" si="46"/>
        <v>0.84351152194701218</v>
      </c>
      <c r="O73" s="20"/>
      <c r="P73" s="13"/>
    </row>
    <row r="74" spans="1:16" x14ac:dyDescent="0.2">
      <c r="B74" s="16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13"/>
    </row>
    <row r="75" spans="1:16" x14ac:dyDescent="0.2">
      <c r="A75" s="16" t="s">
        <v>97</v>
      </c>
      <c r="B75" s="16" t="s">
        <v>98</v>
      </c>
      <c r="C75" s="20">
        <f>C128+C168+C208</f>
        <v>0</v>
      </c>
      <c r="D75" s="20">
        <f t="shared" ref="D75:N75" si="47">D128+D168+D208</f>
        <v>0</v>
      </c>
      <c r="E75" s="20">
        <f t="shared" si="47"/>
        <v>100500</v>
      </c>
      <c r="F75" s="20">
        <f t="shared" si="47"/>
        <v>0</v>
      </c>
      <c r="G75" s="20">
        <f t="shared" si="47"/>
        <v>133006</v>
      </c>
      <c r="H75" s="20">
        <f t="shared" si="47"/>
        <v>0</v>
      </c>
      <c r="I75" s="20">
        <f t="shared" si="47"/>
        <v>0</v>
      </c>
      <c r="J75" s="20">
        <f t="shared" si="47"/>
        <v>0</v>
      </c>
      <c r="K75" s="20">
        <f t="shared" si="47"/>
        <v>0</v>
      </c>
      <c r="L75" s="20">
        <f t="shared" si="47"/>
        <v>0</v>
      </c>
      <c r="M75" s="20">
        <f t="shared" si="47"/>
        <v>0</v>
      </c>
      <c r="N75" s="20">
        <f t="shared" si="47"/>
        <v>-1043607</v>
      </c>
      <c r="O75" s="20">
        <f>SUM(C75:N75)</f>
        <v>-810101</v>
      </c>
      <c r="P75" s="13">
        <f>O75/O$89</f>
        <v>-2.9721511868814891E-2</v>
      </c>
    </row>
    <row r="76" spans="1:16" x14ac:dyDescent="0.2">
      <c r="B76" s="16"/>
      <c r="C76" s="9">
        <f t="shared" ref="C76:N76" si="48">C75/$O75</f>
        <v>0</v>
      </c>
      <c r="D76" s="9">
        <f t="shared" si="48"/>
        <v>0</v>
      </c>
      <c r="E76" s="9">
        <f t="shared" si="48"/>
        <v>-0.12405860503813722</v>
      </c>
      <c r="F76" s="9">
        <f t="shared" si="48"/>
        <v>0</v>
      </c>
      <c r="G76" s="9">
        <f t="shared" si="48"/>
        <v>-0.16418446588758687</v>
      </c>
      <c r="H76" s="9">
        <f t="shared" si="48"/>
        <v>0</v>
      </c>
      <c r="I76" s="9">
        <f t="shared" si="48"/>
        <v>0</v>
      </c>
      <c r="J76" s="9">
        <f t="shared" si="48"/>
        <v>0</v>
      </c>
      <c r="K76" s="9">
        <f t="shared" si="48"/>
        <v>0</v>
      </c>
      <c r="L76" s="9">
        <f t="shared" si="48"/>
        <v>0</v>
      </c>
      <c r="M76" s="9">
        <f t="shared" si="48"/>
        <v>0</v>
      </c>
      <c r="N76" s="9">
        <f t="shared" si="48"/>
        <v>1.288243070925724</v>
      </c>
      <c r="O76" s="20"/>
      <c r="P76" s="13"/>
    </row>
    <row r="77" spans="1:16" x14ac:dyDescent="0.2">
      <c r="B77" s="16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13"/>
    </row>
    <row r="78" spans="1:16" x14ac:dyDescent="0.2">
      <c r="A78" s="16" t="s">
        <v>133</v>
      </c>
      <c r="B78" s="16" t="s">
        <v>132</v>
      </c>
      <c r="C78" s="20">
        <f>C129+C169+C209</f>
        <v>-73668</v>
      </c>
      <c r="D78" s="20">
        <f t="shared" ref="D78:N78" si="49">D131+D171+D211</f>
        <v>2224089</v>
      </c>
      <c r="E78" s="20">
        <f t="shared" si="49"/>
        <v>1349548</v>
      </c>
      <c r="F78" s="20">
        <f t="shared" si="49"/>
        <v>1613516</v>
      </c>
      <c r="G78" s="20">
        <f t="shared" si="49"/>
        <v>1409789</v>
      </c>
      <c r="H78" s="20">
        <f t="shared" si="49"/>
        <v>1418412</v>
      </c>
      <c r="I78" s="20">
        <f t="shared" si="49"/>
        <v>1559083</v>
      </c>
      <c r="J78" s="20">
        <f t="shared" si="49"/>
        <v>1505675</v>
      </c>
      <c r="K78" s="20">
        <f t="shared" si="49"/>
        <v>1462720</v>
      </c>
      <c r="L78" s="20">
        <f t="shared" si="49"/>
        <v>1178722</v>
      </c>
      <c r="M78" s="20">
        <f t="shared" si="49"/>
        <v>1426220</v>
      </c>
      <c r="N78" s="20">
        <f t="shared" si="49"/>
        <v>1146716</v>
      </c>
      <c r="O78" s="20">
        <f>SUM(C78:N78)</f>
        <v>16220822</v>
      </c>
      <c r="P78" s="13">
        <f>O78/O$89</f>
        <v>0.59512005736930784</v>
      </c>
    </row>
    <row r="79" spans="1:16" x14ac:dyDescent="0.2">
      <c r="B79" s="16"/>
      <c r="C79" s="9">
        <f t="shared" ref="C79:N79" si="50">C78/$O78</f>
        <v>-4.5415700881250038E-3</v>
      </c>
      <c r="D79" s="9">
        <f t="shared" si="50"/>
        <v>0.13711321164858353</v>
      </c>
      <c r="E79" s="9">
        <f t="shared" si="50"/>
        <v>8.3198496352404339E-2</v>
      </c>
      <c r="F79" s="9">
        <f t="shared" si="50"/>
        <v>9.9471900992440451E-2</v>
      </c>
      <c r="G79" s="9">
        <f t="shared" si="50"/>
        <v>8.6912303211267597E-2</v>
      </c>
      <c r="H79" s="9">
        <f t="shared" si="50"/>
        <v>8.7443903890937216E-2</v>
      </c>
      <c r="I79" s="9">
        <f t="shared" si="50"/>
        <v>9.6116152436664437E-2</v>
      </c>
      <c r="J79" s="9">
        <f t="shared" si="50"/>
        <v>9.2823594266677731E-2</v>
      </c>
      <c r="K79" s="9">
        <f t="shared" si="50"/>
        <v>9.0175454733428431E-2</v>
      </c>
      <c r="L79" s="9">
        <f t="shared" si="50"/>
        <v>7.2667217481333563E-2</v>
      </c>
      <c r="M79" s="9">
        <f t="shared" si="50"/>
        <v>8.7925260507759714E-2</v>
      </c>
      <c r="N79" s="9">
        <f t="shared" si="50"/>
        <v>7.0694074566628004E-2</v>
      </c>
      <c r="O79" s="20"/>
      <c r="P79" s="13"/>
    </row>
    <row r="80" spans="1:16" x14ac:dyDescent="0.2">
      <c r="B80" s="16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13"/>
    </row>
    <row r="81" spans="1:17" x14ac:dyDescent="0.2">
      <c r="A81" s="16" t="s">
        <v>99</v>
      </c>
      <c r="B81" s="16" t="s">
        <v>100</v>
      </c>
      <c r="C81" s="20">
        <f>C130+C170+C210</f>
        <v>23884</v>
      </c>
      <c r="D81" s="20">
        <f t="shared" ref="D81:N81" si="51">D130+D170+D210</f>
        <v>21186</v>
      </c>
      <c r="E81" s="20">
        <f t="shared" si="51"/>
        <v>22544</v>
      </c>
      <c r="F81" s="20">
        <f t="shared" si="51"/>
        <v>31644</v>
      </c>
      <c r="G81" s="20">
        <f t="shared" si="51"/>
        <v>22152</v>
      </c>
      <c r="H81" s="20">
        <f t="shared" si="51"/>
        <v>30151</v>
      </c>
      <c r="I81" s="20">
        <f t="shared" si="51"/>
        <v>19262</v>
      </c>
      <c r="J81" s="20">
        <f t="shared" si="51"/>
        <v>-170820</v>
      </c>
      <c r="K81" s="20">
        <f t="shared" si="51"/>
        <v>-2</v>
      </c>
      <c r="L81" s="20">
        <f t="shared" si="51"/>
        <v>0</v>
      </c>
      <c r="M81" s="20">
        <f t="shared" si="51"/>
        <v>0</v>
      </c>
      <c r="N81" s="20">
        <f t="shared" si="51"/>
        <v>-50047</v>
      </c>
      <c r="O81" s="20">
        <f>SUM(C81:N81)</f>
        <v>-50046</v>
      </c>
      <c r="P81" s="13">
        <f>O81/O$89</f>
        <v>-1.8361201664813523E-3</v>
      </c>
    </row>
    <row r="82" spans="1:17" x14ac:dyDescent="0.2">
      <c r="B82" s="16"/>
      <c r="C82" s="9">
        <f t="shared" ref="C82:N82" si="52">C81/$O81</f>
        <v>-0.4772409383367302</v>
      </c>
      <c r="D82" s="9">
        <f t="shared" si="52"/>
        <v>-0.42333053590696557</v>
      </c>
      <c r="E82" s="9">
        <f t="shared" si="52"/>
        <v>-0.45046557167405987</v>
      </c>
      <c r="F82" s="9">
        <f t="shared" si="52"/>
        <v>-0.63229828557726886</v>
      </c>
      <c r="G82" s="9">
        <f t="shared" si="52"/>
        <v>-0.44263277784438315</v>
      </c>
      <c r="H82" s="9">
        <f t="shared" si="52"/>
        <v>-0.60246573152699512</v>
      </c>
      <c r="I82" s="9">
        <f t="shared" si="52"/>
        <v>-0.38488590496742997</v>
      </c>
      <c r="J82" s="9">
        <f t="shared" si="52"/>
        <v>3.4132598009830954</v>
      </c>
      <c r="K82" s="9">
        <f t="shared" si="52"/>
        <v>3.9963233824881112E-5</v>
      </c>
      <c r="L82" s="9">
        <f t="shared" si="52"/>
        <v>0</v>
      </c>
      <c r="M82" s="9">
        <f t="shared" si="52"/>
        <v>0</v>
      </c>
      <c r="N82" s="9">
        <f t="shared" si="52"/>
        <v>1.0000199816169124</v>
      </c>
      <c r="O82" s="20"/>
      <c r="P82" s="13"/>
    </row>
    <row r="83" spans="1:17" x14ac:dyDescent="0.2">
      <c r="B83" s="16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13"/>
    </row>
    <row r="84" spans="1:17" x14ac:dyDescent="0.2">
      <c r="A84" s="16" t="s">
        <v>101</v>
      </c>
      <c r="B84" s="16" t="s">
        <v>102</v>
      </c>
      <c r="C84" s="20">
        <f t="shared" ref="C84:N84" si="53">C131+C171+C211</f>
        <v>1401213</v>
      </c>
      <c r="D84" s="20">
        <f t="shared" si="53"/>
        <v>2224089</v>
      </c>
      <c r="E84" s="20">
        <f t="shared" si="53"/>
        <v>1349548</v>
      </c>
      <c r="F84" s="20">
        <f t="shared" si="53"/>
        <v>1613516</v>
      </c>
      <c r="G84" s="20">
        <f t="shared" si="53"/>
        <v>1409789</v>
      </c>
      <c r="H84" s="20">
        <f t="shared" si="53"/>
        <v>1418412</v>
      </c>
      <c r="I84" s="20">
        <f t="shared" si="53"/>
        <v>1559083</v>
      </c>
      <c r="J84" s="20">
        <f t="shared" si="53"/>
        <v>1505675</v>
      </c>
      <c r="K84" s="20">
        <f t="shared" si="53"/>
        <v>1462720</v>
      </c>
      <c r="L84" s="20">
        <f t="shared" si="53"/>
        <v>1178722</v>
      </c>
      <c r="M84" s="20">
        <f t="shared" si="53"/>
        <v>1426220</v>
      </c>
      <c r="N84" s="20">
        <f t="shared" si="53"/>
        <v>1146716</v>
      </c>
      <c r="O84" s="20">
        <f>SUM(C84:N84)</f>
        <v>17695703</v>
      </c>
      <c r="P84" s="13">
        <f>O84/O$89</f>
        <v>0.6492314498334445</v>
      </c>
    </row>
    <row r="85" spans="1:17" x14ac:dyDescent="0.2">
      <c r="B85" s="16"/>
      <c r="C85" s="9">
        <f t="shared" ref="C85:N85" si="54">C84/$O84</f>
        <v>7.9183799592477344E-2</v>
      </c>
      <c r="D85" s="9">
        <f t="shared" si="54"/>
        <v>0.12568525816691203</v>
      </c>
      <c r="E85" s="9">
        <f t="shared" si="54"/>
        <v>7.6264164243714988E-2</v>
      </c>
      <c r="F85" s="9">
        <f t="shared" si="54"/>
        <v>9.118123196348854E-2</v>
      </c>
      <c r="G85" s="9">
        <f t="shared" si="54"/>
        <v>7.9668437021123154E-2</v>
      </c>
      <c r="H85" s="9">
        <f t="shared" si="54"/>
        <v>8.015573046179629E-2</v>
      </c>
      <c r="I85" s="9">
        <f t="shared" si="54"/>
        <v>8.8105174459584906E-2</v>
      </c>
      <c r="J85" s="9">
        <f t="shared" si="54"/>
        <v>8.5087040622234669E-2</v>
      </c>
      <c r="K85" s="9">
        <f t="shared" si="54"/>
        <v>8.265961516194073E-2</v>
      </c>
      <c r="L85" s="9">
        <f t="shared" si="54"/>
        <v>6.6610634231372437E-2</v>
      </c>
      <c r="M85" s="9">
        <f t="shared" si="54"/>
        <v>8.0596967523697702E-2</v>
      </c>
      <c r="N85" s="9">
        <f t="shared" si="54"/>
        <v>6.4801946551657205E-2</v>
      </c>
      <c r="O85" s="20"/>
      <c r="P85" s="13"/>
    </row>
    <row r="86" spans="1:17" x14ac:dyDescent="0.2">
      <c r="B86" s="16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13"/>
    </row>
    <row r="87" spans="1:17" x14ac:dyDescent="0.2">
      <c r="B87" t="s">
        <v>108</v>
      </c>
      <c r="C87" s="20">
        <f>C3+C6+C9+C12+C15+C18+C21+C24+C27+C30+C33+C36+C39+C42+C45+C48+C51+C54+C57+C60+C63+C66+C69+C72+C75+C78+C81+C84</f>
        <v>-5456597</v>
      </c>
      <c r="D87" s="20">
        <f t="shared" ref="D87:N87" si="55">D3+D6+D9+D12+D15+D18+D21+D24+D27+D30+D33+D36+D39+D42+D45+D48+D51+D54+D57+D60+D63+D66+D69+D72+D75+D78+D81+D84</f>
        <v>4972491</v>
      </c>
      <c r="E87" s="20">
        <f t="shared" si="55"/>
        <v>7786456</v>
      </c>
      <c r="F87" s="20">
        <f t="shared" si="55"/>
        <v>8626892</v>
      </c>
      <c r="G87" s="20">
        <f t="shared" si="55"/>
        <v>5384099</v>
      </c>
      <c r="H87" s="20">
        <f t="shared" si="55"/>
        <v>5098604</v>
      </c>
      <c r="I87" s="20">
        <f t="shared" si="55"/>
        <v>5034646</v>
      </c>
      <c r="J87" s="20">
        <f t="shared" si="55"/>
        <v>-8217734</v>
      </c>
      <c r="K87" s="20">
        <f t="shared" si="55"/>
        <v>4781604</v>
      </c>
      <c r="L87" s="20">
        <f t="shared" si="55"/>
        <v>4810229</v>
      </c>
      <c r="M87" s="20">
        <f t="shared" si="55"/>
        <v>-1610099</v>
      </c>
      <c r="N87" s="20">
        <f t="shared" si="55"/>
        <v>-4168795</v>
      </c>
      <c r="O87" s="20">
        <f>O3+O6+O9+O12+O15+O18+O21+O24+O27+O30+O33+O36+O39+O42+O45+O48+O51+O54+O57+O60+O63+O66+O69+O72+O75+O78+O81+O84</f>
        <v>27041796</v>
      </c>
      <c r="P87" s="13">
        <f>SUM(P12:P84)-P24-P54-P57</f>
        <v>1.0611126141227967</v>
      </c>
    </row>
    <row r="88" spans="1:17" x14ac:dyDescent="0.2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13"/>
    </row>
    <row r="89" spans="1:17" x14ac:dyDescent="0.2">
      <c r="B89" t="s">
        <v>110</v>
      </c>
      <c r="C89" s="20">
        <f>+C12+C15+C18+C21+C27+C30+C36+C39+C42+C45+C48+C51+C60+C63+C66+C69+C72+C75+C78+C81+C84</f>
        <v>-5864767</v>
      </c>
      <c r="D89" s="20">
        <f t="shared" ref="D89:O89" si="56">+D12+D15+D18+D21+D27+D30+D36+D39+D42+D45+D48+D51+D60+D63+D66+D69+D72+D75+D78+D81+D84</f>
        <v>2856877</v>
      </c>
      <c r="E89" s="20">
        <f t="shared" si="56"/>
        <v>5880056</v>
      </c>
      <c r="F89" s="20">
        <f t="shared" si="56"/>
        <v>6944311</v>
      </c>
      <c r="G89" s="20">
        <f t="shared" si="56"/>
        <v>3455850</v>
      </c>
      <c r="H89" s="20">
        <f t="shared" si="56"/>
        <v>2389159</v>
      </c>
      <c r="I89" s="20">
        <f t="shared" si="56"/>
        <v>1307799</v>
      </c>
      <c r="J89" s="20">
        <f t="shared" si="56"/>
        <v>464329</v>
      </c>
      <c r="K89" s="20">
        <f t="shared" si="56"/>
        <v>4000138</v>
      </c>
      <c r="L89" s="20">
        <f t="shared" si="56"/>
        <v>4090566</v>
      </c>
      <c r="M89" s="20">
        <f t="shared" si="56"/>
        <v>-2293216</v>
      </c>
      <c r="N89" s="20">
        <f t="shared" si="56"/>
        <v>4025284</v>
      </c>
      <c r="O89" s="20">
        <f t="shared" si="56"/>
        <v>27256386</v>
      </c>
      <c r="P89" s="13">
        <f>O89/O$87</f>
        <v>1.0079354936336329</v>
      </c>
    </row>
    <row r="90" spans="1:17" x14ac:dyDescent="0.2">
      <c r="C90" s="9">
        <f t="shared" ref="C90:N90" si="57">C89/$O89</f>
        <v>-0.21517038245642692</v>
      </c>
      <c r="D90" s="9">
        <f t="shared" si="57"/>
        <v>0.10481495969421625</v>
      </c>
      <c r="E90" s="9">
        <f t="shared" si="57"/>
        <v>0.21573131522278852</v>
      </c>
      <c r="F90" s="9">
        <f t="shared" si="57"/>
        <v>0.25477739418571488</v>
      </c>
      <c r="G90" s="9">
        <f t="shared" si="57"/>
        <v>0.12679047031400276</v>
      </c>
      <c r="H90" s="9">
        <f t="shared" si="57"/>
        <v>8.7655017800232216E-2</v>
      </c>
      <c r="I90" s="9">
        <f t="shared" si="57"/>
        <v>4.7981379482958601E-2</v>
      </c>
      <c r="J90" s="9">
        <f t="shared" si="57"/>
        <v>1.7035604059907283E-2</v>
      </c>
      <c r="K90" s="9">
        <f t="shared" si="57"/>
        <v>0.14675966212101635</v>
      </c>
      <c r="L90" s="9">
        <f t="shared" si="57"/>
        <v>0.15007734334258402</v>
      </c>
      <c r="M90" s="9">
        <f t="shared" si="57"/>
        <v>-8.4134998675172851E-2</v>
      </c>
      <c r="N90" s="9">
        <f t="shared" si="57"/>
        <v>0.14768223490817894</v>
      </c>
      <c r="O90" s="21">
        <f>SUM(C90:N90)</f>
        <v>1</v>
      </c>
      <c r="P90" s="13"/>
    </row>
    <row r="91" spans="1:17" x14ac:dyDescent="0.2">
      <c r="B91" s="16" t="s">
        <v>109</v>
      </c>
      <c r="C91" s="20">
        <f>C3+C6+C9</f>
        <v>0</v>
      </c>
      <c r="D91" s="20">
        <f>D3+D6+D9</f>
        <v>45827</v>
      </c>
      <c r="E91" s="20">
        <f t="shared" ref="E91:O91" si="58">E3+E6+E9</f>
        <v>173102</v>
      </c>
      <c r="F91" s="20">
        <f t="shared" si="58"/>
        <v>57486</v>
      </c>
      <c r="G91" s="20">
        <f t="shared" si="58"/>
        <v>221175</v>
      </c>
      <c r="H91" s="20">
        <f t="shared" si="58"/>
        <v>94522</v>
      </c>
      <c r="I91" s="20">
        <f t="shared" si="58"/>
        <v>109301</v>
      </c>
      <c r="J91" s="20">
        <f t="shared" si="58"/>
        <v>-126945</v>
      </c>
      <c r="K91" s="20">
        <f t="shared" si="58"/>
        <v>54612</v>
      </c>
      <c r="L91" s="20">
        <f t="shared" si="58"/>
        <v>32368</v>
      </c>
      <c r="M91" s="20">
        <f t="shared" si="58"/>
        <v>31903</v>
      </c>
      <c r="N91" s="20">
        <f t="shared" si="58"/>
        <v>-4608331</v>
      </c>
      <c r="O91" s="20">
        <f t="shared" si="58"/>
        <v>-3914980</v>
      </c>
      <c r="P91" s="13">
        <f>O91/O$87</f>
        <v>-0.14477514733119057</v>
      </c>
    </row>
    <row r="92" spans="1:17" x14ac:dyDescent="0.2">
      <c r="B92" s="16"/>
      <c r="C92" s="9">
        <f t="shared" ref="C92:N92" si="59">C91/$O91</f>
        <v>0</v>
      </c>
      <c r="D92" s="9">
        <f t="shared" si="59"/>
        <v>-1.1705551497070229E-2</v>
      </c>
      <c r="E92" s="9">
        <f t="shared" si="59"/>
        <v>-4.4215296119009546E-2</v>
      </c>
      <c r="F92" s="9">
        <f t="shared" si="59"/>
        <v>-1.468359991621924E-2</v>
      </c>
      <c r="G92" s="9">
        <f t="shared" si="59"/>
        <v>-5.6494541479139099E-2</v>
      </c>
      <c r="H92" s="9">
        <f t="shared" si="59"/>
        <v>-2.414367378632841E-2</v>
      </c>
      <c r="I92" s="9">
        <f t="shared" si="59"/>
        <v>-2.7918661142585659E-2</v>
      </c>
      <c r="J92" s="9">
        <f t="shared" si="59"/>
        <v>3.2425453003591335E-2</v>
      </c>
      <c r="K92" s="9">
        <f t="shared" si="59"/>
        <v>-1.3949496549152231E-2</v>
      </c>
      <c r="L92" s="9">
        <f t="shared" si="59"/>
        <v>-8.2677306142049257E-3</v>
      </c>
      <c r="M92" s="9">
        <f t="shared" si="59"/>
        <v>-8.1489560610782177E-3</v>
      </c>
      <c r="N92" s="9">
        <f t="shared" si="59"/>
        <v>1.1771020541611963</v>
      </c>
      <c r="O92" s="21">
        <f>SUM(C92:N92)</f>
        <v>1</v>
      </c>
      <c r="P92" s="13"/>
      <c r="Q92"/>
    </row>
    <row r="93" spans="1:17" x14ac:dyDescent="0.2">
      <c r="B93" s="16" t="s">
        <v>113</v>
      </c>
      <c r="C93" s="20">
        <f t="shared" ref="C93:O93" si="60">C24</f>
        <v>-548849</v>
      </c>
      <c r="D93" s="20">
        <f t="shared" si="60"/>
        <v>0</v>
      </c>
      <c r="E93" s="20">
        <f t="shared" si="60"/>
        <v>197</v>
      </c>
      <c r="F93" s="20">
        <f t="shared" si="60"/>
        <v>248</v>
      </c>
      <c r="G93" s="20">
        <f t="shared" si="60"/>
        <v>0</v>
      </c>
      <c r="H93" s="20">
        <f t="shared" si="60"/>
        <v>547</v>
      </c>
      <c r="I93" s="20">
        <f t="shared" si="60"/>
        <v>0</v>
      </c>
      <c r="J93" s="20">
        <f t="shared" si="60"/>
        <v>547857</v>
      </c>
      <c r="K93" s="20">
        <f t="shared" si="60"/>
        <v>0</v>
      </c>
      <c r="L93" s="20">
        <f t="shared" si="60"/>
        <v>0</v>
      </c>
      <c r="M93" s="20">
        <f t="shared" si="60"/>
        <v>0</v>
      </c>
      <c r="N93" s="20">
        <f t="shared" si="60"/>
        <v>109</v>
      </c>
      <c r="O93" s="20">
        <f t="shared" si="60"/>
        <v>109</v>
      </c>
      <c r="P93" s="13">
        <f>O93/O$87</f>
        <v>4.0307973627195468E-6</v>
      </c>
      <c r="Q93"/>
    </row>
    <row r="94" spans="1:17" x14ac:dyDescent="0.2">
      <c r="B94" s="16"/>
      <c r="C94" s="9">
        <f t="shared" ref="C94:N94" si="61">C93/$O93</f>
        <v>-5035.3119266055046</v>
      </c>
      <c r="D94" s="9">
        <f t="shared" si="61"/>
        <v>0</v>
      </c>
      <c r="E94" s="9">
        <f t="shared" si="61"/>
        <v>1.8073394495412844</v>
      </c>
      <c r="F94" s="9">
        <f t="shared" si="61"/>
        <v>2.2752293577981653</v>
      </c>
      <c r="G94" s="9">
        <f t="shared" si="61"/>
        <v>0</v>
      </c>
      <c r="H94" s="9">
        <f t="shared" si="61"/>
        <v>5.0183486238532113</v>
      </c>
      <c r="I94" s="9">
        <f t="shared" si="61"/>
        <v>0</v>
      </c>
      <c r="J94" s="9">
        <f t="shared" si="61"/>
        <v>5026.2110091743116</v>
      </c>
      <c r="K94" s="9">
        <f t="shared" si="61"/>
        <v>0</v>
      </c>
      <c r="L94" s="9">
        <f t="shared" si="61"/>
        <v>0</v>
      </c>
      <c r="M94" s="9">
        <f t="shared" si="61"/>
        <v>0</v>
      </c>
      <c r="N94" s="9">
        <f t="shared" si="61"/>
        <v>1</v>
      </c>
      <c r="O94" s="21">
        <f>SUM(C94:N94)</f>
        <v>0.99999999999909051</v>
      </c>
      <c r="P94" s="13"/>
    </row>
    <row r="95" spans="1:17" x14ac:dyDescent="0.2">
      <c r="B95" s="16" t="s">
        <v>82</v>
      </c>
      <c r="C95" s="20">
        <f t="shared" ref="C95:O95" si="62">C54</f>
        <v>528830</v>
      </c>
      <c r="D95" s="20">
        <f t="shared" si="62"/>
        <v>1447598</v>
      </c>
      <c r="E95" s="20">
        <f t="shared" si="62"/>
        <v>1098900</v>
      </c>
      <c r="F95" s="20">
        <f t="shared" si="62"/>
        <v>945088</v>
      </c>
      <c r="G95" s="20">
        <f t="shared" si="62"/>
        <v>1037847</v>
      </c>
      <c r="H95" s="20">
        <f t="shared" si="62"/>
        <v>1826934</v>
      </c>
      <c r="I95" s="20">
        <f t="shared" si="62"/>
        <v>2899139</v>
      </c>
      <c r="J95" s="20">
        <f t="shared" si="62"/>
        <v>-9713814</v>
      </c>
      <c r="K95" s="20">
        <f t="shared" si="62"/>
        <v>0</v>
      </c>
      <c r="L95" s="20">
        <f t="shared" si="62"/>
        <v>-70</v>
      </c>
      <c r="M95" s="20">
        <f t="shared" si="62"/>
        <v>0</v>
      </c>
      <c r="N95" s="20">
        <f t="shared" si="62"/>
        <v>11</v>
      </c>
      <c r="O95" s="20">
        <f t="shared" si="62"/>
        <v>70463</v>
      </c>
      <c r="P95" s="13">
        <f>O95/O$87</f>
        <v>2.6057071061404355E-3</v>
      </c>
    </row>
    <row r="96" spans="1:17" x14ac:dyDescent="0.2">
      <c r="B96" s="16"/>
      <c r="C96" s="9">
        <f t="shared" ref="C96:N96" si="63">C95/$O95</f>
        <v>7.5050735847182208</v>
      </c>
      <c r="D96" s="9">
        <f t="shared" si="63"/>
        <v>20.544086967628402</v>
      </c>
      <c r="E96" s="9">
        <f t="shared" si="63"/>
        <v>15.595418872315967</v>
      </c>
      <c r="F96" s="9">
        <f t="shared" si="63"/>
        <v>13.412542752934163</v>
      </c>
      <c r="G96" s="9">
        <f t="shared" si="63"/>
        <v>14.728964137206761</v>
      </c>
      <c r="H96" s="9">
        <f t="shared" si="63"/>
        <v>25.927564821253707</v>
      </c>
      <c r="I96" s="9">
        <f t="shared" si="63"/>
        <v>41.144132381533574</v>
      </c>
      <c r="J96" s="9">
        <f t="shared" si="63"/>
        <v>-137.85694619871421</v>
      </c>
      <c r="K96" s="9">
        <f t="shared" si="63"/>
        <v>0</v>
      </c>
      <c r="L96" s="9">
        <f t="shared" si="63"/>
        <v>-9.9342917559570279E-4</v>
      </c>
      <c r="M96" s="9">
        <f t="shared" si="63"/>
        <v>0</v>
      </c>
      <c r="N96" s="9">
        <f t="shared" si="63"/>
        <v>1.5611029902218185E-4</v>
      </c>
      <c r="O96" s="21">
        <f>SUM(C96:N96)</f>
        <v>1.000000000000018</v>
      </c>
      <c r="P96" s="13"/>
      <c r="Q96" s="31"/>
    </row>
    <row r="97" spans="1:30" x14ac:dyDescent="0.2">
      <c r="B97" s="16" t="s">
        <v>84</v>
      </c>
      <c r="C97" s="20">
        <f>+C57</f>
        <v>-85576</v>
      </c>
      <c r="D97" s="20">
        <f t="shared" ref="D97:N97" si="64">+D57</f>
        <v>123929</v>
      </c>
      <c r="E97" s="20">
        <f t="shared" si="64"/>
        <v>124815</v>
      </c>
      <c r="F97" s="20">
        <f t="shared" si="64"/>
        <v>114826</v>
      </c>
      <c r="G97" s="20">
        <f t="shared" si="64"/>
        <v>201577</v>
      </c>
      <c r="H97" s="20">
        <f t="shared" si="64"/>
        <v>226590</v>
      </c>
      <c r="I97" s="20">
        <f t="shared" si="64"/>
        <v>212313</v>
      </c>
      <c r="J97" s="20">
        <f t="shared" si="64"/>
        <v>115694</v>
      </c>
      <c r="K97" s="20">
        <f t="shared" si="64"/>
        <v>211157</v>
      </c>
      <c r="L97" s="20">
        <f t="shared" si="64"/>
        <v>150493</v>
      </c>
      <c r="M97" s="20">
        <f t="shared" si="64"/>
        <v>142767</v>
      </c>
      <c r="N97" s="20">
        <f t="shared" si="64"/>
        <v>425524</v>
      </c>
      <c r="O97" s="20">
        <f>+O57</f>
        <v>1964109</v>
      </c>
      <c r="P97" s="13">
        <f>O97/O$87</f>
        <v>7.2632342910951622E-2</v>
      </c>
    </row>
    <row r="98" spans="1:30" x14ac:dyDescent="0.2">
      <c r="B98" s="16"/>
      <c r="C98" s="9">
        <f t="shared" ref="C98:N98" si="65">C97/$O97</f>
        <v>-4.3569883341504981E-2</v>
      </c>
      <c r="D98" s="9">
        <f t="shared" si="65"/>
        <v>6.3096803690630199E-2</v>
      </c>
      <c r="E98" s="9">
        <f t="shared" si="65"/>
        <v>6.3547898818242771E-2</v>
      </c>
      <c r="F98" s="9">
        <f t="shared" si="65"/>
        <v>5.8462132193274403E-2</v>
      </c>
      <c r="G98" s="9">
        <f t="shared" si="65"/>
        <v>0.10263025117241456</v>
      </c>
      <c r="H98" s="9">
        <f t="shared" si="65"/>
        <v>0.11536528777170717</v>
      </c>
      <c r="I98" s="9">
        <f t="shared" si="65"/>
        <v>0.10809634292190505</v>
      </c>
      <c r="J98" s="9">
        <f t="shared" si="65"/>
        <v>5.8904062860055117E-2</v>
      </c>
      <c r="K98" s="9">
        <f t="shared" si="65"/>
        <v>0.1075077808818146</v>
      </c>
      <c r="L98" s="9">
        <f t="shared" si="65"/>
        <v>7.662151133160125E-2</v>
      </c>
      <c r="M98" s="9">
        <f t="shared" si="65"/>
        <v>7.2687921087882593E-2</v>
      </c>
      <c r="N98" s="9">
        <f t="shared" si="65"/>
        <v>0.21664989061197723</v>
      </c>
      <c r="O98" s="21">
        <f>SUM(C98:N98)</f>
        <v>1</v>
      </c>
      <c r="P98" s="13"/>
    </row>
    <row r="99" spans="1:30" x14ac:dyDescent="0.2">
      <c r="C99" s="20">
        <f>C89+C91+C93+C95+C97-C87</f>
        <v>-513765</v>
      </c>
      <c r="D99" s="20">
        <f t="shared" ref="D99:N99" si="66">D89+D91+D93+D95+D97-D87</f>
        <v>-498260</v>
      </c>
      <c r="E99" s="20">
        <f t="shared" si="66"/>
        <v>-509386</v>
      </c>
      <c r="F99" s="20">
        <f t="shared" si="66"/>
        <v>-564933</v>
      </c>
      <c r="G99" s="20">
        <f t="shared" si="66"/>
        <v>-467650</v>
      </c>
      <c r="H99" s="20">
        <f t="shared" si="66"/>
        <v>-560852</v>
      </c>
      <c r="I99" s="20">
        <f t="shared" si="66"/>
        <v>-506094</v>
      </c>
      <c r="J99" s="20">
        <f t="shared" si="66"/>
        <v>-495145</v>
      </c>
      <c r="K99" s="20">
        <f t="shared" si="66"/>
        <v>-515697</v>
      </c>
      <c r="L99" s="20">
        <f t="shared" si="66"/>
        <v>-536872</v>
      </c>
      <c r="M99" s="20">
        <f t="shared" si="66"/>
        <v>-508447</v>
      </c>
      <c r="N99" s="20">
        <f t="shared" si="66"/>
        <v>4011392</v>
      </c>
      <c r="P99" s="41">
        <f>SUM(P89:P97)</f>
        <v>0.93840242711689703</v>
      </c>
    </row>
    <row r="100" spans="1:30" x14ac:dyDescent="0.2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P100" s="41"/>
    </row>
    <row r="101" spans="1:30" x14ac:dyDescent="0.2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P101" s="41"/>
    </row>
    <row r="102" spans="1:30" x14ac:dyDescent="0.2">
      <c r="S102" t="s">
        <v>173</v>
      </c>
    </row>
    <row r="103" spans="1:30" x14ac:dyDescent="0.2">
      <c r="C103" s="18">
        <v>42186</v>
      </c>
      <c r="D103" s="18">
        <v>42217</v>
      </c>
      <c r="E103" s="18">
        <v>42248</v>
      </c>
      <c r="F103" s="18">
        <v>42278</v>
      </c>
      <c r="G103" s="18">
        <v>42309</v>
      </c>
      <c r="H103" s="18">
        <v>42339</v>
      </c>
      <c r="I103" s="18">
        <v>42370</v>
      </c>
      <c r="J103" s="18">
        <v>42401</v>
      </c>
      <c r="K103" s="18">
        <v>42430</v>
      </c>
      <c r="L103" s="18">
        <v>42461</v>
      </c>
      <c r="M103" s="18">
        <v>42491</v>
      </c>
      <c r="N103" s="18">
        <v>42522</v>
      </c>
      <c r="O103" s="17" t="s">
        <v>222</v>
      </c>
      <c r="S103" s="18">
        <v>42186</v>
      </c>
      <c r="T103" s="18">
        <v>42217</v>
      </c>
      <c r="U103" s="18">
        <v>42248</v>
      </c>
      <c r="V103" s="18">
        <v>42278</v>
      </c>
      <c r="W103" s="18">
        <v>42309</v>
      </c>
      <c r="X103" s="18">
        <v>42339</v>
      </c>
      <c r="Y103" s="18">
        <v>42370</v>
      </c>
      <c r="Z103" s="18">
        <v>42401</v>
      </c>
      <c r="AA103" s="18">
        <v>42430</v>
      </c>
      <c r="AB103" s="18">
        <v>42461</v>
      </c>
      <c r="AC103" s="18">
        <v>42491</v>
      </c>
      <c r="AD103" s="18">
        <v>42522</v>
      </c>
    </row>
    <row r="104" spans="1:30" x14ac:dyDescent="0.2">
      <c r="A104" s="16" t="s">
        <v>33</v>
      </c>
      <c r="B104" s="16" t="s">
        <v>34</v>
      </c>
      <c r="C104" s="17">
        <f>S104</f>
        <v>0</v>
      </c>
      <c r="D104" s="17">
        <f t="shared" ref="D104:D132" si="67">T104-S104</f>
        <v>22183</v>
      </c>
      <c r="E104" s="17">
        <f t="shared" ref="E104:E132" si="68">U104-T104</f>
        <v>22687</v>
      </c>
      <c r="F104" s="17">
        <f t="shared" ref="F104:F132" si="69">V104-U104</f>
        <v>22572</v>
      </c>
      <c r="G104" s="17">
        <f t="shared" ref="G104:G132" si="70">W104-V104</f>
        <v>37384</v>
      </c>
      <c r="H104" s="17">
        <f t="shared" ref="H104:H132" si="71">X104-W104</f>
        <v>39119</v>
      </c>
      <c r="I104" s="17">
        <f t="shared" ref="I104:I132" si="72">Y104-X104</f>
        <v>37222</v>
      </c>
      <c r="J104" s="17">
        <f t="shared" ref="J104:J132" si="73">Z104-Y104</f>
        <v>-181167</v>
      </c>
      <c r="K104" s="17">
        <f t="shared" ref="K104:K132" si="74">AA104-Z104</f>
        <v>0</v>
      </c>
      <c r="L104" s="17">
        <f t="shared" ref="L104:L132" si="75">AB104-AA104</f>
        <v>0</v>
      </c>
      <c r="M104" s="17">
        <f t="shared" ref="M104:M132" si="76">AC104-AB104</f>
        <v>0</v>
      </c>
      <c r="N104" s="17">
        <f t="shared" ref="N104:N132" si="77">AD104-AC104</f>
        <v>0</v>
      </c>
      <c r="O104" s="17">
        <f>SUM(C104:N104)</f>
        <v>0</v>
      </c>
      <c r="S104" s="17">
        <v>0</v>
      </c>
      <c r="T104" s="17">
        <v>22183</v>
      </c>
      <c r="U104" s="17">
        <v>44870</v>
      </c>
      <c r="V104" s="17">
        <v>67442</v>
      </c>
      <c r="W104" s="17">
        <v>104826</v>
      </c>
      <c r="X104" s="17">
        <v>143945</v>
      </c>
      <c r="Y104" s="17">
        <v>181167</v>
      </c>
      <c r="Z104" s="17"/>
      <c r="AA104" s="17"/>
      <c r="AB104" s="17"/>
      <c r="AC104" s="17"/>
      <c r="AD104" s="17"/>
    </row>
    <row r="105" spans="1:30" x14ac:dyDescent="0.2">
      <c r="A105" s="113" t="s">
        <v>35</v>
      </c>
      <c r="B105" s="113" t="s">
        <v>36</v>
      </c>
      <c r="C105" s="17">
        <f t="shared" ref="C105" si="78">S105</f>
        <v>0</v>
      </c>
      <c r="D105" s="17">
        <f t="shared" si="67"/>
        <v>0</v>
      </c>
      <c r="E105" s="17">
        <f t="shared" si="68"/>
        <v>0</v>
      </c>
      <c r="F105" s="17">
        <f t="shared" si="69"/>
        <v>0</v>
      </c>
      <c r="G105" s="17">
        <f t="shared" si="70"/>
        <v>0</v>
      </c>
      <c r="H105" s="17">
        <f t="shared" si="71"/>
        <v>0</v>
      </c>
      <c r="I105" s="17">
        <f t="shared" si="72"/>
        <v>0</v>
      </c>
      <c r="J105" s="17">
        <f t="shared" si="73"/>
        <v>0</v>
      </c>
      <c r="K105" s="17">
        <f t="shared" si="74"/>
        <v>0</v>
      </c>
      <c r="L105" s="17">
        <f t="shared" si="75"/>
        <v>0</v>
      </c>
      <c r="M105" s="17">
        <f t="shared" si="76"/>
        <v>0</v>
      </c>
      <c r="N105" s="17">
        <f t="shared" si="77"/>
        <v>0</v>
      </c>
      <c r="O105" s="17">
        <f t="shared" ref="O105" si="79">SUM(C105:N105)</f>
        <v>0</v>
      </c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</row>
    <row r="106" spans="1:30" x14ac:dyDescent="0.2">
      <c r="A106" s="16" t="s">
        <v>37</v>
      </c>
      <c r="B106" s="16" t="s">
        <v>38</v>
      </c>
      <c r="C106" s="17">
        <f t="shared" ref="C106:C132" si="80">S106</f>
        <v>0</v>
      </c>
      <c r="D106" s="17">
        <f t="shared" si="67"/>
        <v>0</v>
      </c>
      <c r="E106" s="17">
        <f t="shared" si="68"/>
        <v>0</v>
      </c>
      <c r="F106" s="17">
        <f t="shared" si="69"/>
        <v>0</v>
      </c>
      <c r="G106" s="17">
        <f t="shared" si="70"/>
        <v>0</v>
      </c>
      <c r="H106" s="17">
        <f t="shared" si="71"/>
        <v>0</v>
      </c>
      <c r="I106" s="17">
        <f t="shared" si="72"/>
        <v>0</v>
      </c>
      <c r="J106" s="17">
        <f t="shared" si="73"/>
        <v>0</v>
      </c>
      <c r="K106" s="17">
        <f t="shared" si="74"/>
        <v>0</v>
      </c>
      <c r="L106" s="17">
        <f t="shared" si="75"/>
        <v>0</v>
      </c>
      <c r="M106" s="17">
        <f t="shared" si="76"/>
        <v>0</v>
      </c>
      <c r="N106" s="17">
        <f t="shared" si="77"/>
        <v>0</v>
      </c>
      <c r="O106" s="17">
        <f t="shared" ref="O106:O126" si="81">SUM(C106:N106)</f>
        <v>0</v>
      </c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</row>
    <row r="107" spans="1:30" x14ac:dyDescent="0.2">
      <c r="A107" s="16" t="s">
        <v>41</v>
      </c>
      <c r="B107" s="16" t="s">
        <v>42</v>
      </c>
      <c r="C107" s="17">
        <f t="shared" si="80"/>
        <v>13065</v>
      </c>
      <c r="D107" s="17">
        <f t="shared" si="67"/>
        <v>10424</v>
      </c>
      <c r="E107" s="17">
        <f t="shared" si="68"/>
        <v>3305</v>
      </c>
      <c r="F107" s="17">
        <f t="shared" si="69"/>
        <v>6549</v>
      </c>
      <c r="G107" s="17">
        <f t="shared" si="70"/>
        <v>1483</v>
      </c>
      <c r="H107" s="17">
        <f t="shared" si="71"/>
        <v>3885</v>
      </c>
      <c r="I107" s="17">
        <f t="shared" si="72"/>
        <v>11750</v>
      </c>
      <c r="J107" s="17">
        <f t="shared" si="73"/>
        <v>-50461</v>
      </c>
      <c r="K107" s="17">
        <f t="shared" si="74"/>
        <v>0</v>
      </c>
      <c r="L107" s="17">
        <f t="shared" si="75"/>
        <v>0</v>
      </c>
      <c r="M107" s="17">
        <f t="shared" si="76"/>
        <v>0</v>
      </c>
      <c r="N107" s="17">
        <f t="shared" si="77"/>
        <v>0</v>
      </c>
      <c r="O107" s="17">
        <f t="shared" si="81"/>
        <v>0</v>
      </c>
      <c r="S107" s="17">
        <v>13065</v>
      </c>
      <c r="T107" s="17">
        <v>23489</v>
      </c>
      <c r="U107" s="17">
        <v>26794</v>
      </c>
      <c r="V107" s="17">
        <v>33343</v>
      </c>
      <c r="W107" s="17">
        <v>34826</v>
      </c>
      <c r="X107" s="17">
        <v>38711</v>
      </c>
      <c r="Y107" s="17">
        <v>50461</v>
      </c>
      <c r="Z107" s="17"/>
      <c r="AA107" s="17"/>
      <c r="AB107" s="17"/>
      <c r="AC107" s="17"/>
      <c r="AD107" s="17"/>
    </row>
    <row r="108" spans="1:30" x14ac:dyDescent="0.2">
      <c r="A108" s="16" t="s">
        <v>43</v>
      </c>
      <c r="B108" s="16" t="s">
        <v>44</v>
      </c>
      <c r="C108" s="17">
        <f t="shared" si="80"/>
        <v>-1236050</v>
      </c>
      <c r="D108" s="17">
        <f t="shared" si="67"/>
        <v>-2160839</v>
      </c>
      <c r="E108" s="17">
        <f t="shared" si="68"/>
        <v>-1326891</v>
      </c>
      <c r="F108" s="17">
        <f t="shared" si="69"/>
        <v>-1501423</v>
      </c>
      <c r="G108" s="17">
        <f t="shared" si="70"/>
        <v>-1362239</v>
      </c>
      <c r="H108" s="17">
        <f t="shared" si="71"/>
        <v>-1230971</v>
      </c>
      <c r="I108" s="17">
        <f t="shared" si="72"/>
        <v>-1750939</v>
      </c>
      <c r="J108" s="17">
        <f t="shared" si="73"/>
        <v>10569352</v>
      </c>
      <c r="K108" s="17">
        <f t="shared" si="74"/>
        <v>0</v>
      </c>
      <c r="L108" s="17">
        <f t="shared" si="75"/>
        <v>0</v>
      </c>
      <c r="M108" s="17">
        <f t="shared" si="76"/>
        <v>0</v>
      </c>
      <c r="N108" s="17">
        <f t="shared" si="77"/>
        <v>0</v>
      </c>
      <c r="O108" s="17">
        <f t="shared" si="81"/>
        <v>0</v>
      </c>
      <c r="S108" s="17">
        <v>-1236050</v>
      </c>
      <c r="T108" s="17">
        <v>-3396889</v>
      </c>
      <c r="U108" s="17">
        <v>-4723780</v>
      </c>
      <c r="V108" s="17">
        <v>-6225203</v>
      </c>
      <c r="W108" s="17">
        <v>-7587442</v>
      </c>
      <c r="X108" s="17">
        <v>-8818413</v>
      </c>
      <c r="Y108" s="17">
        <v>-10569352</v>
      </c>
      <c r="Z108" s="17"/>
      <c r="AA108" s="17"/>
      <c r="AB108" s="17"/>
      <c r="AC108" s="17"/>
      <c r="AD108" s="17"/>
    </row>
    <row r="109" spans="1:30" x14ac:dyDescent="0.2">
      <c r="A109" s="16" t="s">
        <v>45</v>
      </c>
      <c r="B109" s="16" t="s">
        <v>46</v>
      </c>
      <c r="C109" s="17">
        <f t="shared" si="80"/>
        <v>278822</v>
      </c>
      <c r="D109" s="17">
        <f t="shared" si="67"/>
        <v>-384682</v>
      </c>
      <c r="E109" s="17">
        <f t="shared" si="68"/>
        <v>1008</v>
      </c>
      <c r="F109" s="17">
        <f t="shared" si="69"/>
        <v>0</v>
      </c>
      <c r="G109" s="17">
        <f t="shared" si="70"/>
        <v>0</v>
      </c>
      <c r="H109" s="17">
        <f t="shared" si="71"/>
        <v>0</v>
      </c>
      <c r="I109" s="17">
        <f t="shared" si="72"/>
        <v>-963</v>
      </c>
      <c r="J109" s="17">
        <f t="shared" si="73"/>
        <v>105815</v>
      </c>
      <c r="K109" s="17">
        <f t="shared" si="74"/>
        <v>0</v>
      </c>
      <c r="L109" s="17">
        <f t="shared" si="75"/>
        <v>0</v>
      </c>
      <c r="M109" s="17">
        <f t="shared" si="76"/>
        <v>0</v>
      </c>
      <c r="N109" s="17">
        <f t="shared" si="77"/>
        <v>0</v>
      </c>
      <c r="O109" s="17">
        <f t="shared" si="81"/>
        <v>0</v>
      </c>
      <c r="S109" s="17">
        <v>278822</v>
      </c>
      <c r="T109" s="17">
        <v>-105860</v>
      </c>
      <c r="U109" s="17">
        <v>-104852</v>
      </c>
      <c r="V109" s="17">
        <v>-104852</v>
      </c>
      <c r="W109" s="17">
        <v>-104852</v>
      </c>
      <c r="X109" s="17">
        <v>-104852</v>
      </c>
      <c r="Y109" s="17">
        <v>-105815</v>
      </c>
      <c r="Z109" s="17"/>
      <c r="AA109" s="17"/>
      <c r="AB109" s="17"/>
      <c r="AC109" s="17"/>
      <c r="AD109" s="17"/>
    </row>
    <row r="110" spans="1:30" x14ac:dyDescent="0.2">
      <c r="A110" s="16" t="s">
        <v>49</v>
      </c>
      <c r="B110" s="16" t="s">
        <v>50</v>
      </c>
      <c r="C110" s="17">
        <f t="shared" si="80"/>
        <v>0</v>
      </c>
      <c r="D110" s="17">
        <f t="shared" si="67"/>
        <v>0</v>
      </c>
      <c r="E110" s="17">
        <f t="shared" si="68"/>
        <v>0</v>
      </c>
      <c r="F110" s="17">
        <f t="shared" si="69"/>
        <v>0</v>
      </c>
      <c r="G110" s="17">
        <f t="shared" si="70"/>
        <v>0</v>
      </c>
      <c r="H110" s="17">
        <f t="shared" si="71"/>
        <v>0</v>
      </c>
      <c r="I110" s="17">
        <f t="shared" si="72"/>
        <v>0</v>
      </c>
      <c r="J110" s="17">
        <f t="shared" si="73"/>
        <v>0</v>
      </c>
      <c r="K110" s="17">
        <f t="shared" si="74"/>
        <v>0</v>
      </c>
      <c r="L110" s="17">
        <f t="shared" si="75"/>
        <v>0</v>
      </c>
      <c r="M110" s="17">
        <f t="shared" si="76"/>
        <v>0</v>
      </c>
      <c r="N110" s="17">
        <f t="shared" si="77"/>
        <v>0</v>
      </c>
      <c r="O110" s="17">
        <f t="shared" si="81"/>
        <v>0</v>
      </c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</row>
    <row r="111" spans="1:30" x14ac:dyDescent="0.2">
      <c r="A111" s="16" t="s">
        <v>51</v>
      </c>
      <c r="B111" s="16" t="s">
        <v>52</v>
      </c>
      <c r="C111" s="17">
        <f t="shared" si="80"/>
        <v>-548849</v>
      </c>
      <c r="D111" s="17">
        <f t="shared" si="67"/>
        <v>0</v>
      </c>
      <c r="E111" s="17">
        <f t="shared" si="68"/>
        <v>197</v>
      </c>
      <c r="F111" s="17">
        <f t="shared" si="69"/>
        <v>248</v>
      </c>
      <c r="G111" s="17">
        <f t="shared" si="70"/>
        <v>0</v>
      </c>
      <c r="H111" s="17">
        <f t="shared" si="71"/>
        <v>547</v>
      </c>
      <c r="I111" s="17">
        <f t="shared" si="72"/>
        <v>0</v>
      </c>
      <c r="J111" s="17">
        <f t="shared" si="73"/>
        <v>547857</v>
      </c>
      <c r="K111" s="17">
        <f t="shared" si="74"/>
        <v>0</v>
      </c>
      <c r="L111" s="17">
        <f t="shared" si="75"/>
        <v>0</v>
      </c>
      <c r="M111" s="17">
        <f t="shared" si="76"/>
        <v>0</v>
      </c>
      <c r="N111" s="17">
        <f t="shared" si="77"/>
        <v>0</v>
      </c>
      <c r="O111" s="17">
        <f t="shared" si="81"/>
        <v>0</v>
      </c>
      <c r="S111" s="17">
        <v>-548849</v>
      </c>
      <c r="T111" s="17">
        <v>-548849</v>
      </c>
      <c r="U111" s="17">
        <v>-548652</v>
      </c>
      <c r="V111" s="17">
        <v>-548404</v>
      </c>
      <c r="W111" s="17">
        <v>-548404</v>
      </c>
      <c r="X111" s="17">
        <v>-547857</v>
      </c>
      <c r="Y111" s="17">
        <v>-547857</v>
      </c>
      <c r="Z111" s="17"/>
      <c r="AA111" s="17"/>
      <c r="AB111" s="17"/>
      <c r="AC111" s="17"/>
      <c r="AD111" s="17"/>
    </row>
    <row r="112" spans="1:30" x14ac:dyDescent="0.2">
      <c r="A112" s="16" t="s">
        <v>53</v>
      </c>
      <c r="B112" s="16" t="s">
        <v>54</v>
      </c>
      <c r="C112" s="17">
        <f t="shared" si="80"/>
        <v>0</v>
      </c>
      <c r="D112" s="17">
        <f t="shared" si="67"/>
        <v>0</v>
      </c>
      <c r="E112" s="17">
        <f t="shared" si="68"/>
        <v>0</v>
      </c>
      <c r="F112" s="17">
        <f t="shared" si="69"/>
        <v>0</v>
      </c>
      <c r="G112" s="17">
        <f t="shared" si="70"/>
        <v>0</v>
      </c>
      <c r="H112" s="17">
        <f t="shared" si="71"/>
        <v>0</v>
      </c>
      <c r="I112" s="17">
        <f t="shared" si="72"/>
        <v>0</v>
      </c>
      <c r="J112" s="17">
        <f t="shared" si="73"/>
        <v>0</v>
      </c>
      <c r="K112" s="17">
        <f t="shared" si="74"/>
        <v>0</v>
      </c>
      <c r="L112" s="17">
        <f t="shared" si="75"/>
        <v>0</v>
      </c>
      <c r="M112" s="17">
        <f t="shared" si="76"/>
        <v>0</v>
      </c>
      <c r="N112" s="17">
        <f t="shared" si="77"/>
        <v>0</v>
      </c>
      <c r="O112" s="17">
        <f t="shared" si="81"/>
        <v>0</v>
      </c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</row>
    <row r="113" spans="1:30" x14ac:dyDescent="0.2">
      <c r="A113" s="16" t="s">
        <v>57</v>
      </c>
      <c r="B113" s="16" t="s">
        <v>58</v>
      </c>
      <c r="C113" s="17">
        <f t="shared" si="80"/>
        <v>35639</v>
      </c>
      <c r="D113" s="17">
        <f t="shared" si="67"/>
        <v>49070</v>
      </c>
      <c r="E113" s="17">
        <f t="shared" si="68"/>
        <v>188942</v>
      </c>
      <c r="F113" s="17">
        <f t="shared" si="69"/>
        <v>74499</v>
      </c>
      <c r="G113" s="17">
        <f t="shared" si="70"/>
        <v>51505</v>
      </c>
      <c r="H113" s="17">
        <f t="shared" si="71"/>
        <v>51972</v>
      </c>
      <c r="I113" s="17">
        <f t="shared" si="72"/>
        <v>51955</v>
      </c>
      <c r="J113" s="17">
        <f t="shared" si="73"/>
        <v>-503582</v>
      </c>
      <c r="K113" s="17">
        <f t="shared" si="74"/>
        <v>0</v>
      </c>
      <c r="L113" s="17">
        <f t="shared" si="75"/>
        <v>0</v>
      </c>
      <c r="M113" s="17">
        <f t="shared" si="76"/>
        <v>0</v>
      </c>
      <c r="N113" s="17">
        <f t="shared" si="77"/>
        <v>0</v>
      </c>
      <c r="O113" s="17">
        <f t="shared" si="81"/>
        <v>0</v>
      </c>
      <c r="S113" s="17">
        <v>35639</v>
      </c>
      <c r="T113" s="17">
        <v>84709</v>
      </c>
      <c r="U113" s="17">
        <v>273651</v>
      </c>
      <c r="V113" s="17">
        <v>348150</v>
      </c>
      <c r="W113" s="17">
        <v>399655</v>
      </c>
      <c r="X113" s="17">
        <v>451627</v>
      </c>
      <c r="Y113" s="17">
        <v>503582</v>
      </c>
      <c r="Z113" s="17"/>
      <c r="AA113" s="17"/>
      <c r="AB113" s="17"/>
      <c r="AC113" s="17"/>
      <c r="AD113" s="17"/>
    </row>
    <row r="114" spans="1:30" x14ac:dyDescent="0.2">
      <c r="A114" s="16" t="s">
        <v>63</v>
      </c>
      <c r="B114" s="16" t="s">
        <v>64</v>
      </c>
      <c r="C114" s="17">
        <f t="shared" si="80"/>
        <v>0</v>
      </c>
      <c r="D114" s="17">
        <f t="shared" si="67"/>
        <v>0</v>
      </c>
      <c r="E114" s="17">
        <f t="shared" si="68"/>
        <v>0</v>
      </c>
      <c r="F114" s="17">
        <f t="shared" si="69"/>
        <v>0</v>
      </c>
      <c r="G114" s="17">
        <f t="shared" si="70"/>
        <v>0</v>
      </c>
      <c r="H114" s="17">
        <f t="shared" si="71"/>
        <v>0</v>
      </c>
      <c r="I114" s="17">
        <f t="shared" si="72"/>
        <v>0</v>
      </c>
      <c r="J114" s="17">
        <f t="shared" si="73"/>
        <v>0</v>
      </c>
      <c r="K114" s="17">
        <f t="shared" si="74"/>
        <v>0</v>
      </c>
      <c r="L114" s="17">
        <f t="shared" si="75"/>
        <v>0</v>
      </c>
      <c r="M114" s="17">
        <f t="shared" si="76"/>
        <v>0</v>
      </c>
      <c r="N114" s="17">
        <f t="shared" si="77"/>
        <v>0</v>
      </c>
      <c r="O114" s="17">
        <f t="shared" si="81"/>
        <v>0</v>
      </c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</row>
    <row r="115" spans="1:30" x14ac:dyDescent="0.2">
      <c r="A115" s="16" t="s">
        <v>65</v>
      </c>
      <c r="B115" s="16" t="s">
        <v>66</v>
      </c>
      <c r="C115" s="17">
        <f t="shared" si="80"/>
        <v>456500</v>
      </c>
      <c r="D115" s="17">
        <f t="shared" si="67"/>
        <v>456500</v>
      </c>
      <c r="E115" s="17">
        <f t="shared" si="68"/>
        <v>456500</v>
      </c>
      <c r="F115" s="17">
        <f t="shared" si="69"/>
        <v>456500</v>
      </c>
      <c r="G115" s="17">
        <f t="shared" si="70"/>
        <v>456500</v>
      </c>
      <c r="H115" s="17">
        <f t="shared" si="71"/>
        <v>456500</v>
      </c>
      <c r="I115" s="17">
        <f t="shared" si="72"/>
        <v>456500</v>
      </c>
      <c r="J115" s="17">
        <f t="shared" si="73"/>
        <v>-3195500</v>
      </c>
      <c r="K115" s="17">
        <f t="shared" si="74"/>
        <v>0</v>
      </c>
      <c r="L115" s="17">
        <f t="shared" si="75"/>
        <v>0</v>
      </c>
      <c r="M115" s="17">
        <f t="shared" si="76"/>
        <v>0</v>
      </c>
      <c r="N115" s="17">
        <f t="shared" si="77"/>
        <v>0</v>
      </c>
      <c r="O115" s="17">
        <f t="shared" si="81"/>
        <v>0</v>
      </c>
      <c r="S115" s="17">
        <v>456500</v>
      </c>
      <c r="T115" s="17">
        <v>913000</v>
      </c>
      <c r="U115" s="17">
        <v>1369500</v>
      </c>
      <c r="V115" s="17">
        <v>1826000</v>
      </c>
      <c r="W115" s="17">
        <v>2282500</v>
      </c>
      <c r="X115" s="17">
        <v>2739000</v>
      </c>
      <c r="Y115" s="17">
        <v>3195500</v>
      </c>
      <c r="Z115" s="17"/>
      <c r="AA115" s="17"/>
      <c r="AB115" s="17"/>
      <c r="AC115" s="17"/>
      <c r="AD115" s="17"/>
    </row>
    <row r="116" spans="1:30" x14ac:dyDescent="0.2">
      <c r="A116" s="16" t="s">
        <v>67</v>
      </c>
      <c r="B116" s="16" t="s">
        <v>68</v>
      </c>
      <c r="C116" s="17">
        <f t="shared" si="80"/>
        <v>0</v>
      </c>
      <c r="D116" s="17">
        <f t="shared" si="67"/>
        <v>0</v>
      </c>
      <c r="E116" s="17">
        <f t="shared" si="68"/>
        <v>0</v>
      </c>
      <c r="F116" s="17">
        <f t="shared" si="69"/>
        <v>0</v>
      </c>
      <c r="G116" s="17">
        <f t="shared" si="70"/>
        <v>0</v>
      </c>
      <c r="H116" s="17">
        <f t="shared" si="71"/>
        <v>0</v>
      </c>
      <c r="I116" s="17">
        <f t="shared" si="72"/>
        <v>0</v>
      </c>
      <c r="J116" s="17">
        <f t="shared" si="73"/>
        <v>0</v>
      </c>
      <c r="K116" s="17">
        <f t="shared" si="74"/>
        <v>0</v>
      </c>
      <c r="L116" s="17">
        <f t="shared" si="75"/>
        <v>0</v>
      </c>
      <c r="M116" s="17">
        <f t="shared" si="76"/>
        <v>0</v>
      </c>
      <c r="N116" s="17">
        <f t="shared" si="77"/>
        <v>0</v>
      </c>
      <c r="O116" s="93">
        <f t="shared" si="81"/>
        <v>0</v>
      </c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</row>
    <row r="117" spans="1:30" x14ac:dyDescent="0.2">
      <c r="A117" s="16" t="s">
        <v>69</v>
      </c>
      <c r="B117" s="16" t="s">
        <v>70</v>
      </c>
      <c r="C117" s="17">
        <f t="shared" si="80"/>
        <v>-41036</v>
      </c>
      <c r="D117" s="17">
        <f t="shared" si="67"/>
        <v>0</v>
      </c>
      <c r="E117" s="17">
        <f t="shared" si="68"/>
        <v>0</v>
      </c>
      <c r="F117" s="17">
        <f t="shared" si="69"/>
        <v>0</v>
      </c>
      <c r="G117" s="17">
        <f t="shared" si="70"/>
        <v>0</v>
      </c>
      <c r="H117" s="17">
        <f t="shared" si="71"/>
        <v>0</v>
      </c>
      <c r="I117" s="17">
        <f t="shared" si="72"/>
        <v>0</v>
      </c>
      <c r="J117" s="17">
        <f t="shared" si="73"/>
        <v>41036</v>
      </c>
      <c r="K117" s="17">
        <f t="shared" si="74"/>
        <v>0</v>
      </c>
      <c r="L117" s="17">
        <f t="shared" si="75"/>
        <v>0</v>
      </c>
      <c r="M117" s="17">
        <f t="shared" si="76"/>
        <v>0</v>
      </c>
      <c r="N117" s="17">
        <f t="shared" si="77"/>
        <v>0</v>
      </c>
      <c r="O117" s="17">
        <f t="shared" si="81"/>
        <v>0</v>
      </c>
      <c r="S117" s="17">
        <v>-41036</v>
      </c>
      <c r="T117" s="17">
        <v>-41036</v>
      </c>
      <c r="U117" s="17">
        <v>-41036</v>
      </c>
      <c r="V117" s="17">
        <v>-41036</v>
      </c>
      <c r="W117" s="17">
        <v>-41036</v>
      </c>
      <c r="X117" s="17">
        <v>-41036</v>
      </c>
      <c r="Y117" s="17">
        <v>-41036</v>
      </c>
      <c r="Z117" s="17"/>
      <c r="AA117" s="17"/>
      <c r="AB117" s="17"/>
      <c r="AC117" s="17"/>
      <c r="AD117" s="17"/>
    </row>
    <row r="118" spans="1:30" x14ac:dyDescent="0.2">
      <c r="A118" s="16" t="s">
        <v>71</v>
      </c>
      <c r="B118" s="16" t="s">
        <v>72</v>
      </c>
      <c r="C118" s="17">
        <f t="shared" si="80"/>
        <v>0</v>
      </c>
      <c r="D118" s="17">
        <f t="shared" si="67"/>
        <v>0</v>
      </c>
      <c r="E118" s="17">
        <f t="shared" si="68"/>
        <v>0</v>
      </c>
      <c r="F118" s="17">
        <f t="shared" si="69"/>
        <v>527812</v>
      </c>
      <c r="G118" s="17">
        <f t="shared" si="70"/>
        <v>622355</v>
      </c>
      <c r="H118" s="17">
        <f t="shared" si="71"/>
        <v>584679</v>
      </c>
      <c r="I118" s="17">
        <f t="shared" si="72"/>
        <v>186913</v>
      </c>
      <c r="J118" s="17">
        <f t="shared" si="73"/>
        <v>-1921759</v>
      </c>
      <c r="K118" s="17">
        <f t="shared" si="74"/>
        <v>0</v>
      </c>
      <c r="L118" s="17">
        <f t="shared" si="75"/>
        <v>0</v>
      </c>
      <c r="M118" s="17">
        <f t="shared" si="76"/>
        <v>0</v>
      </c>
      <c r="N118" s="17">
        <f t="shared" si="77"/>
        <v>0</v>
      </c>
      <c r="O118" s="17">
        <f t="shared" si="81"/>
        <v>0</v>
      </c>
      <c r="S118" s="17"/>
      <c r="T118" s="17"/>
      <c r="U118" s="17"/>
      <c r="V118" s="17">
        <v>527812</v>
      </c>
      <c r="W118" s="17">
        <v>1150167</v>
      </c>
      <c r="X118" s="17">
        <v>1734846</v>
      </c>
      <c r="Y118" s="17">
        <v>1921759</v>
      </c>
      <c r="Z118" s="17"/>
      <c r="AA118" s="17"/>
      <c r="AB118" s="17"/>
      <c r="AC118" s="17"/>
      <c r="AD118" s="17"/>
    </row>
    <row r="119" spans="1:30" x14ac:dyDescent="0.2">
      <c r="A119" s="16" t="s">
        <v>73</v>
      </c>
      <c r="B119" s="16" t="s">
        <v>74</v>
      </c>
      <c r="C119" s="17">
        <f t="shared" si="80"/>
        <v>556857</v>
      </c>
      <c r="D119" s="17">
        <f t="shared" si="67"/>
        <v>2146332</v>
      </c>
      <c r="E119" s="17">
        <f t="shared" si="68"/>
        <v>854374</v>
      </c>
      <c r="F119" s="17">
        <f t="shared" si="69"/>
        <v>0</v>
      </c>
      <c r="G119" s="17">
        <f t="shared" si="70"/>
        <v>0</v>
      </c>
      <c r="H119" s="17">
        <f t="shared" si="71"/>
        <v>203913</v>
      </c>
      <c r="I119" s="17">
        <f t="shared" si="72"/>
        <v>0</v>
      </c>
      <c r="J119" s="17">
        <f t="shared" si="73"/>
        <v>-3761476</v>
      </c>
      <c r="K119" s="17">
        <f t="shared" si="74"/>
        <v>0</v>
      </c>
      <c r="L119" s="17">
        <f t="shared" si="75"/>
        <v>0</v>
      </c>
      <c r="M119" s="17">
        <f t="shared" si="76"/>
        <v>0</v>
      </c>
      <c r="N119" s="17">
        <f t="shared" si="77"/>
        <v>0</v>
      </c>
      <c r="O119" s="17">
        <f t="shared" si="81"/>
        <v>0</v>
      </c>
      <c r="S119" s="17">
        <v>556857</v>
      </c>
      <c r="T119" s="17">
        <v>2703189</v>
      </c>
      <c r="U119" s="17">
        <v>3557563</v>
      </c>
      <c r="V119" s="17">
        <v>3557563</v>
      </c>
      <c r="W119" s="17">
        <v>3557563</v>
      </c>
      <c r="X119" s="17">
        <v>3761476</v>
      </c>
      <c r="Y119" s="17">
        <v>3761476</v>
      </c>
      <c r="Z119" s="17"/>
      <c r="AA119" s="17"/>
      <c r="AB119" s="17"/>
      <c r="AC119" s="17"/>
      <c r="AD119" s="17"/>
    </row>
    <row r="120" spans="1:30" x14ac:dyDescent="0.2">
      <c r="A120" s="16" t="s">
        <v>79</v>
      </c>
      <c r="B120" s="16" t="s">
        <v>80</v>
      </c>
      <c r="C120" s="17">
        <f t="shared" si="80"/>
        <v>0</v>
      </c>
      <c r="D120" s="17">
        <f t="shared" si="67"/>
        <v>0</v>
      </c>
      <c r="E120" s="17">
        <f t="shared" si="68"/>
        <v>0</v>
      </c>
      <c r="F120" s="17">
        <f t="shared" si="69"/>
        <v>0</v>
      </c>
      <c r="G120" s="17">
        <f t="shared" si="70"/>
        <v>0</v>
      </c>
      <c r="H120" s="17">
        <f t="shared" si="71"/>
        <v>0</v>
      </c>
      <c r="I120" s="17">
        <f t="shared" si="72"/>
        <v>0</v>
      </c>
      <c r="J120" s="17">
        <f t="shared" si="73"/>
        <v>0</v>
      </c>
      <c r="K120" s="17">
        <f t="shared" si="74"/>
        <v>0</v>
      </c>
      <c r="L120" s="17">
        <f t="shared" si="75"/>
        <v>0</v>
      </c>
      <c r="M120" s="17">
        <f t="shared" si="76"/>
        <v>0</v>
      </c>
      <c r="N120" s="17">
        <f t="shared" si="77"/>
        <v>0</v>
      </c>
      <c r="O120" s="17">
        <f t="shared" si="81"/>
        <v>0</v>
      </c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</row>
    <row r="121" spans="1:30" x14ac:dyDescent="0.2">
      <c r="A121" s="16" t="s">
        <v>81</v>
      </c>
      <c r="B121" s="16" t="s">
        <v>82</v>
      </c>
      <c r="C121" s="17">
        <f t="shared" si="80"/>
        <v>458158</v>
      </c>
      <c r="D121" s="17">
        <f t="shared" si="67"/>
        <v>1447598</v>
      </c>
      <c r="E121" s="17">
        <f t="shared" si="68"/>
        <v>1098900</v>
      </c>
      <c r="F121" s="17">
        <f t="shared" si="69"/>
        <v>945088</v>
      </c>
      <c r="G121" s="17">
        <f t="shared" si="70"/>
        <v>1037997</v>
      </c>
      <c r="H121" s="17">
        <f t="shared" si="71"/>
        <v>1826934</v>
      </c>
      <c r="I121" s="17">
        <f t="shared" si="72"/>
        <v>2899139</v>
      </c>
      <c r="J121" s="17">
        <f t="shared" si="73"/>
        <v>-9713814</v>
      </c>
      <c r="K121" s="17">
        <f t="shared" si="74"/>
        <v>0</v>
      </c>
      <c r="L121" s="17">
        <f t="shared" si="75"/>
        <v>0</v>
      </c>
      <c r="M121" s="17">
        <f t="shared" si="76"/>
        <v>0</v>
      </c>
      <c r="N121" s="17">
        <f t="shared" si="77"/>
        <v>0</v>
      </c>
      <c r="O121" s="17">
        <f t="shared" si="81"/>
        <v>0</v>
      </c>
      <c r="S121" s="17">
        <v>458158</v>
      </c>
      <c r="T121" s="17">
        <v>1905756</v>
      </c>
      <c r="U121" s="17">
        <v>3004656</v>
      </c>
      <c r="V121" s="17">
        <v>3949744</v>
      </c>
      <c r="W121" s="17">
        <v>4987741</v>
      </c>
      <c r="X121" s="17">
        <v>6814675</v>
      </c>
      <c r="Y121" s="17">
        <v>9713814</v>
      </c>
      <c r="Z121" s="17"/>
      <c r="AA121" s="17"/>
      <c r="AB121" s="17"/>
      <c r="AC121" s="17"/>
      <c r="AD121" s="17"/>
    </row>
    <row r="122" spans="1:30" x14ac:dyDescent="0.2">
      <c r="A122" s="16" t="s">
        <v>83</v>
      </c>
      <c r="B122" s="16" t="s">
        <v>84</v>
      </c>
      <c r="C122" s="17">
        <f t="shared" si="80"/>
        <v>0</v>
      </c>
      <c r="D122" s="17">
        <f t="shared" si="67"/>
        <v>795</v>
      </c>
      <c r="E122" s="17">
        <f t="shared" si="68"/>
        <v>1005</v>
      </c>
      <c r="F122" s="17">
        <f t="shared" si="69"/>
        <v>0</v>
      </c>
      <c r="G122" s="17">
        <f t="shared" si="70"/>
        <v>536</v>
      </c>
      <c r="H122" s="17">
        <f t="shared" si="71"/>
        <v>-1800</v>
      </c>
      <c r="I122" s="17">
        <f t="shared" si="72"/>
        <v>0</v>
      </c>
      <c r="J122" s="17">
        <f t="shared" si="73"/>
        <v>-536</v>
      </c>
      <c r="K122" s="17">
        <f t="shared" si="74"/>
        <v>0</v>
      </c>
      <c r="L122" s="17">
        <f t="shared" si="75"/>
        <v>0</v>
      </c>
      <c r="M122" s="17">
        <f t="shared" si="76"/>
        <v>0</v>
      </c>
      <c r="N122" s="17">
        <f t="shared" si="77"/>
        <v>0</v>
      </c>
      <c r="O122" s="17">
        <f t="shared" si="81"/>
        <v>0</v>
      </c>
      <c r="S122" s="17"/>
      <c r="T122" s="17">
        <v>795</v>
      </c>
      <c r="U122" s="17">
        <v>1800</v>
      </c>
      <c r="V122" s="17">
        <v>1800</v>
      </c>
      <c r="W122" s="17">
        <v>2336</v>
      </c>
      <c r="X122" s="17">
        <v>536</v>
      </c>
      <c r="Y122" s="17">
        <v>536</v>
      </c>
      <c r="Z122" s="17"/>
      <c r="AA122" s="17"/>
      <c r="AB122" s="17"/>
      <c r="AC122" s="17"/>
      <c r="AD122" s="17"/>
    </row>
    <row r="123" spans="1:30" x14ac:dyDescent="0.2">
      <c r="A123" s="16" t="s">
        <v>85</v>
      </c>
      <c r="B123" s="16" t="s">
        <v>86</v>
      </c>
      <c r="C123" s="17">
        <f t="shared" si="80"/>
        <v>0</v>
      </c>
      <c r="D123" s="17">
        <f t="shared" si="67"/>
        <v>8767</v>
      </c>
      <c r="E123" s="17">
        <f t="shared" si="68"/>
        <v>62398</v>
      </c>
      <c r="F123" s="17">
        <f t="shared" si="69"/>
        <v>656133</v>
      </c>
      <c r="G123" s="17">
        <f t="shared" si="70"/>
        <v>18370</v>
      </c>
      <c r="H123" s="17">
        <f t="shared" si="71"/>
        <v>0</v>
      </c>
      <c r="I123" s="17">
        <f t="shared" si="72"/>
        <v>328501</v>
      </c>
      <c r="J123" s="17">
        <f t="shared" si="73"/>
        <v>-1074169</v>
      </c>
      <c r="K123" s="17">
        <f t="shared" si="74"/>
        <v>0</v>
      </c>
      <c r="L123" s="17">
        <f t="shared" si="75"/>
        <v>0</v>
      </c>
      <c r="M123" s="17">
        <f t="shared" si="76"/>
        <v>0</v>
      </c>
      <c r="N123" s="17">
        <f t="shared" si="77"/>
        <v>0</v>
      </c>
      <c r="O123" s="17">
        <f t="shared" si="81"/>
        <v>0</v>
      </c>
      <c r="S123" s="17"/>
      <c r="T123" s="17">
        <v>8767</v>
      </c>
      <c r="U123" s="17">
        <v>71165</v>
      </c>
      <c r="V123" s="17">
        <v>727298</v>
      </c>
      <c r="W123" s="17">
        <v>745668</v>
      </c>
      <c r="X123" s="17">
        <v>745668</v>
      </c>
      <c r="Y123" s="17">
        <v>1074169</v>
      </c>
      <c r="Z123" s="17"/>
      <c r="AA123" s="17"/>
      <c r="AB123" s="17"/>
      <c r="AC123" s="17"/>
      <c r="AD123" s="17"/>
    </row>
    <row r="124" spans="1:30" x14ac:dyDescent="0.2">
      <c r="A124" s="16" t="s">
        <v>87</v>
      </c>
      <c r="B124" s="16" t="s">
        <v>88</v>
      </c>
      <c r="C124" s="17">
        <f t="shared" si="80"/>
        <v>0</v>
      </c>
      <c r="D124" s="17">
        <f t="shared" si="67"/>
        <v>0</v>
      </c>
      <c r="E124" s="17">
        <f t="shared" si="68"/>
        <v>0</v>
      </c>
      <c r="F124" s="17">
        <f t="shared" si="69"/>
        <v>0</v>
      </c>
      <c r="G124" s="17">
        <f t="shared" si="70"/>
        <v>0</v>
      </c>
      <c r="H124" s="17">
        <f t="shared" si="71"/>
        <v>0</v>
      </c>
      <c r="I124" s="17">
        <f t="shared" si="72"/>
        <v>0</v>
      </c>
      <c r="J124" s="17">
        <f t="shared" si="73"/>
        <v>0</v>
      </c>
      <c r="K124" s="17">
        <f t="shared" si="74"/>
        <v>0</v>
      </c>
      <c r="L124" s="17">
        <f t="shared" si="75"/>
        <v>0</v>
      </c>
      <c r="M124" s="17">
        <f t="shared" si="76"/>
        <v>0</v>
      </c>
      <c r="N124" s="17">
        <f t="shared" si="77"/>
        <v>0</v>
      </c>
      <c r="O124" s="17">
        <f t="shared" si="81"/>
        <v>0</v>
      </c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</row>
    <row r="125" spans="1:30" x14ac:dyDescent="0.2">
      <c r="A125" s="16" t="s">
        <v>89</v>
      </c>
      <c r="B125" s="16" t="s">
        <v>90</v>
      </c>
      <c r="C125" s="17">
        <f t="shared" si="80"/>
        <v>1703</v>
      </c>
      <c r="D125" s="17">
        <f t="shared" si="67"/>
        <v>8306</v>
      </c>
      <c r="E125" s="17">
        <f t="shared" si="68"/>
        <v>38</v>
      </c>
      <c r="F125" s="17">
        <f t="shared" si="69"/>
        <v>0</v>
      </c>
      <c r="G125" s="17">
        <f t="shared" si="70"/>
        <v>432839</v>
      </c>
      <c r="H125" s="17">
        <f t="shared" si="71"/>
        <v>686938</v>
      </c>
      <c r="I125" s="17">
        <f t="shared" si="72"/>
        <v>0</v>
      </c>
      <c r="J125" s="17">
        <f t="shared" si="73"/>
        <v>-1129824</v>
      </c>
      <c r="K125" s="17">
        <f t="shared" si="74"/>
        <v>0</v>
      </c>
      <c r="L125" s="17">
        <f t="shared" si="75"/>
        <v>0</v>
      </c>
      <c r="M125" s="17">
        <f t="shared" si="76"/>
        <v>0</v>
      </c>
      <c r="N125" s="17">
        <f t="shared" si="77"/>
        <v>0</v>
      </c>
      <c r="O125" s="17">
        <f t="shared" si="81"/>
        <v>0</v>
      </c>
      <c r="S125" s="17">
        <v>1703</v>
      </c>
      <c r="T125" s="17">
        <v>10009</v>
      </c>
      <c r="U125" s="17">
        <v>10047</v>
      </c>
      <c r="V125" s="17">
        <v>10047</v>
      </c>
      <c r="W125" s="17">
        <v>442886</v>
      </c>
      <c r="X125" s="17">
        <v>1129824</v>
      </c>
      <c r="Y125" s="17">
        <v>1129824</v>
      </c>
      <c r="Z125" s="17"/>
      <c r="AA125" s="17"/>
      <c r="AB125" s="17"/>
      <c r="AC125" s="17"/>
      <c r="AD125" s="17"/>
    </row>
    <row r="126" spans="1:30" x14ac:dyDescent="0.2">
      <c r="A126" s="16" t="s">
        <v>93</v>
      </c>
      <c r="B126" s="16" t="s">
        <v>94</v>
      </c>
      <c r="C126" s="17">
        <f t="shared" si="80"/>
        <v>-470</v>
      </c>
      <c r="D126" s="17">
        <f t="shared" si="67"/>
        <v>0</v>
      </c>
      <c r="E126" s="17">
        <f t="shared" si="68"/>
        <v>0</v>
      </c>
      <c r="F126" s="17">
        <f t="shared" si="69"/>
        <v>0</v>
      </c>
      <c r="G126" s="17">
        <f t="shared" si="70"/>
        <v>0</v>
      </c>
      <c r="H126" s="17">
        <f t="shared" si="71"/>
        <v>0</v>
      </c>
      <c r="I126" s="17">
        <f t="shared" si="72"/>
        <v>0</v>
      </c>
      <c r="J126" s="17">
        <f t="shared" si="73"/>
        <v>470</v>
      </c>
      <c r="K126" s="17">
        <f t="shared" si="74"/>
        <v>0</v>
      </c>
      <c r="L126" s="17">
        <f t="shared" si="75"/>
        <v>0</v>
      </c>
      <c r="M126" s="17">
        <f t="shared" si="76"/>
        <v>0</v>
      </c>
      <c r="N126" s="17">
        <f t="shared" si="77"/>
        <v>0</v>
      </c>
      <c r="O126" s="17">
        <f t="shared" si="81"/>
        <v>0</v>
      </c>
      <c r="S126" s="17">
        <v>-470</v>
      </c>
      <c r="T126" s="17">
        <v>-470</v>
      </c>
      <c r="U126" s="17">
        <v>-470</v>
      </c>
      <c r="V126" s="17">
        <v>-470</v>
      </c>
      <c r="W126" s="17">
        <v>-470</v>
      </c>
      <c r="X126" s="17">
        <v>-470</v>
      </c>
      <c r="Y126" s="17">
        <v>-470</v>
      </c>
      <c r="Z126" s="17"/>
      <c r="AA126" s="17"/>
      <c r="AB126" s="17"/>
      <c r="AC126" s="17"/>
      <c r="AD126" s="17"/>
    </row>
    <row r="127" spans="1:30" x14ac:dyDescent="0.2">
      <c r="A127" s="16" t="s">
        <v>95</v>
      </c>
      <c r="B127" s="16" t="s">
        <v>96</v>
      </c>
      <c r="C127" s="17">
        <f t="shared" si="80"/>
        <v>0</v>
      </c>
      <c r="D127" s="17">
        <f t="shared" si="67"/>
        <v>0</v>
      </c>
      <c r="E127" s="17">
        <f t="shared" si="68"/>
        <v>0</v>
      </c>
      <c r="F127" s="17">
        <f t="shared" si="69"/>
        <v>0</v>
      </c>
      <c r="G127" s="17">
        <f t="shared" si="70"/>
        <v>0</v>
      </c>
      <c r="H127" s="17">
        <f t="shared" si="71"/>
        <v>0</v>
      </c>
      <c r="I127" s="17">
        <f t="shared" si="72"/>
        <v>0</v>
      </c>
      <c r="J127" s="17">
        <f t="shared" si="73"/>
        <v>0</v>
      </c>
      <c r="K127" s="17">
        <f t="shared" si="74"/>
        <v>0</v>
      </c>
      <c r="L127" s="17">
        <f t="shared" si="75"/>
        <v>0</v>
      </c>
      <c r="M127" s="17">
        <f t="shared" si="76"/>
        <v>0</v>
      </c>
      <c r="N127" s="17">
        <f t="shared" si="77"/>
        <v>0</v>
      </c>
      <c r="O127" s="17">
        <f t="shared" ref="O127:O132" si="82">SUM(C127:N127)</f>
        <v>0</v>
      </c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</row>
    <row r="128" spans="1:30" x14ac:dyDescent="0.2">
      <c r="A128" s="16" t="s">
        <v>97</v>
      </c>
      <c r="B128" s="16" t="s">
        <v>98</v>
      </c>
      <c r="C128" s="17">
        <f t="shared" si="80"/>
        <v>0</v>
      </c>
      <c r="D128" s="17">
        <f t="shared" si="67"/>
        <v>0</v>
      </c>
      <c r="E128" s="17">
        <f t="shared" si="68"/>
        <v>0</v>
      </c>
      <c r="F128" s="17">
        <f t="shared" si="69"/>
        <v>0</v>
      </c>
      <c r="G128" s="17">
        <f t="shared" si="70"/>
        <v>0</v>
      </c>
      <c r="H128" s="17">
        <f t="shared" si="71"/>
        <v>0</v>
      </c>
      <c r="I128" s="17">
        <f t="shared" si="72"/>
        <v>0</v>
      </c>
      <c r="J128" s="17">
        <f t="shared" si="73"/>
        <v>0</v>
      </c>
      <c r="K128" s="17">
        <f t="shared" si="74"/>
        <v>0</v>
      </c>
      <c r="L128" s="17">
        <f t="shared" si="75"/>
        <v>0</v>
      </c>
      <c r="M128" s="17">
        <f t="shared" si="76"/>
        <v>0</v>
      </c>
      <c r="N128" s="17">
        <f t="shared" si="77"/>
        <v>0</v>
      </c>
      <c r="O128" s="17">
        <f t="shared" si="82"/>
        <v>0</v>
      </c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</row>
    <row r="129" spans="1:31" x14ac:dyDescent="0.2">
      <c r="A129" s="16" t="s">
        <v>133</v>
      </c>
      <c r="B129" s="16" t="s">
        <v>132</v>
      </c>
      <c r="C129" s="17">
        <f t="shared" si="80"/>
        <v>0</v>
      </c>
      <c r="D129" s="17">
        <f t="shared" si="67"/>
        <v>0</v>
      </c>
      <c r="E129" s="17">
        <f t="shared" si="68"/>
        <v>0</v>
      </c>
      <c r="F129" s="17">
        <f t="shared" si="69"/>
        <v>0</v>
      </c>
      <c r="G129" s="17">
        <f t="shared" si="70"/>
        <v>0</v>
      </c>
      <c r="H129" s="17">
        <f t="shared" si="71"/>
        <v>0</v>
      </c>
      <c r="I129" s="17">
        <f t="shared" si="72"/>
        <v>0</v>
      </c>
      <c r="J129" s="17">
        <f t="shared" si="73"/>
        <v>0</v>
      </c>
      <c r="K129" s="17">
        <f t="shared" si="74"/>
        <v>0</v>
      </c>
      <c r="L129" s="17">
        <f t="shared" si="75"/>
        <v>0</v>
      </c>
      <c r="M129" s="17">
        <f t="shared" si="76"/>
        <v>0</v>
      </c>
      <c r="N129" s="17">
        <f t="shared" si="77"/>
        <v>0</v>
      </c>
      <c r="O129" s="17">
        <f t="shared" si="82"/>
        <v>0</v>
      </c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</row>
    <row r="130" spans="1:31" x14ac:dyDescent="0.2">
      <c r="A130" s="16" t="s">
        <v>99</v>
      </c>
      <c r="B130" s="16" t="s">
        <v>100</v>
      </c>
      <c r="C130" s="17">
        <f t="shared" si="80"/>
        <v>23884</v>
      </c>
      <c r="D130" s="17">
        <f t="shared" si="67"/>
        <v>21186</v>
      </c>
      <c r="E130" s="17">
        <f t="shared" si="68"/>
        <v>22541</v>
      </c>
      <c r="F130" s="17">
        <f t="shared" si="69"/>
        <v>31644</v>
      </c>
      <c r="G130" s="17">
        <f t="shared" si="70"/>
        <v>22152</v>
      </c>
      <c r="H130" s="17">
        <f t="shared" si="71"/>
        <v>30151</v>
      </c>
      <c r="I130" s="17">
        <f t="shared" si="72"/>
        <v>19262</v>
      </c>
      <c r="J130" s="17">
        <f t="shared" si="73"/>
        <v>-170820</v>
      </c>
      <c r="K130" s="17">
        <f t="shared" si="74"/>
        <v>0</v>
      </c>
      <c r="L130" s="17">
        <f t="shared" si="75"/>
        <v>0</v>
      </c>
      <c r="M130" s="17">
        <f t="shared" si="76"/>
        <v>0</v>
      </c>
      <c r="N130" s="17">
        <f t="shared" si="77"/>
        <v>0</v>
      </c>
      <c r="O130" s="17">
        <f t="shared" si="82"/>
        <v>0</v>
      </c>
      <c r="S130" s="17">
        <v>23884</v>
      </c>
      <c r="T130" s="17">
        <v>45070</v>
      </c>
      <c r="U130" s="17">
        <v>67611</v>
      </c>
      <c r="V130" s="17">
        <v>99255</v>
      </c>
      <c r="W130" s="17">
        <v>121407</v>
      </c>
      <c r="X130" s="17">
        <v>151558</v>
      </c>
      <c r="Y130" s="17">
        <v>170820</v>
      </c>
      <c r="Z130" s="17"/>
      <c r="AA130" s="17"/>
      <c r="AB130" s="17"/>
      <c r="AC130" s="17"/>
      <c r="AD130" s="17"/>
    </row>
    <row r="131" spans="1:31" x14ac:dyDescent="0.2">
      <c r="A131" s="16" t="s">
        <v>101</v>
      </c>
      <c r="B131" s="16" t="s">
        <v>102</v>
      </c>
      <c r="C131" s="17">
        <f t="shared" si="80"/>
        <v>0</v>
      </c>
      <c r="D131" s="17">
        <f t="shared" si="67"/>
        <v>0</v>
      </c>
      <c r="E131" s="17">
        <f t="shared" si="68"/>
        <v>0</v>
      </c>
      <c r="F131" s="17">
        <f t="shared" si="69"/>
        <v>0</v>
      </c>
      <c r="G131" s="17">
        <f t="shared" si="70"/>
        <v>0</v>
      </c>
      <c r="H131" s="17">
        <f t="shared" si="71"/>
        <v>0</v>
      </c>
      <c r="I131" s="17">
        <f t="shared" si="72"/>
        <v>0</v>
      </c>
      <c r="J131" s="17">
        <f t="shared" si="73"/>
        <v>0</v>
      </c>
      <c r="K131" s="17">
        <f t="shared" si="74"/>
        <v>0</v>
      </c>
      <c r="L131" s="17">
        <f t="shared" si="75"/>
        <v>0</v>
      </c>
      <c r="M131" s="17">
        <f t="shared" si="76"/>
        <v>0</v>
      </c>
      <c r="N131" s="17">
        <f t="shared" si="77"/>
        <v>0</v>
      </c>
      <c r="O131" s="17">
        <f t="shared" si="82"/>
        <v>0</v>
      </c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</row>
    <row r="132" spans="1:31" x14ac:dyDescent="0.2">
      <c r="B132" s="16" t="s">
        <v>207</v>
      </c>
      <c r="C132" s="17">
        <f t="shared" si="80"/>
        <v>1236050</v>
      </c>
      <c r="D132" s="17">
        <f t="shared" si="67"/>
        <v>2160839</v>
      </c>
      <c r="E132" s="17">
        <f t="shared" si="68"/>
        <v>1326891</v>
      </c>
      <c r="F132" s="17">
        <f t="shared" si="69"/>
        <v>1501423</v>
      </c>
      <c r="G132" s="17">
        <f t="shared" si="70"/>
        <v>1362239</v>
      </c>
      <c r="H132" s="17">
        <f t="shared" si="71"/>
        <v>1230971</v>
      </c>
      <c r="I132" s="17">
        <f t="shared" si="72"/>
        <v>1750939</v>
      </c>
      <c r="J132" s="17">
        <f t="shared" si="73"/>
        <v>-10569352</v>
      </c>
      <c r="K132" s="17">
        <f t="shared" si="74"/>
        <v>0</v>
      </c>
      <c r="L132" s="17">
        <f t="shared" si="75"/>
        <v>0</v>
      </c>
      <c r="M132" s="17">
        <f t="shared" si="76"/>
        <v>0</v>
      </c>
      <c r="N132" s="17">
        <f t="shared" si="77"/>
        <v>0</v>
      </c>
      <c r="O132" s="17">
        <f t="shared" si="82"/>
        <v>0</v>
      </c>
      <c r="S132" s="17">
        <f>-S108</f>
        <v>1236050</v>
      </c>
      <c r="T132" s="17">
        <f>-T108</f>
        <v>3396889</v>
      </c>
      <c r="U132" s="17">
        <f>-U108</f>
        <v>4723780</v>
      </c>
      <c r="V132" s="17">
        <f t="shared" ref="V132:AD132" si="83">-V108</f>
        <v>6225203</v>
      </c>
      <c r="W132" s="17">
        <f t="shared" si="83"/>
        <v>7587442</v>
      </c>
      <c r="X132" s="17">
        <f t="shared" si="83"/>
        <v>8818413</v>
      </c>
      <c r="Y132" s="17">
        <f t="shared" si="83"/>
        <v>10569352</v>
      </c>
      <c r="Z132" s="17">
        <f t="shared" si="83"/>
        <v>0</v>
      </c>
      <c r="AA132" s="17">
        <f t="shared" si="83"/>
        <v>0</v>
      </c>
      <c r="AB132" s="17">
        <f t="shared" si="83"/>
        <v>0</v>
      </c>
      <c r="AC132" s="17">
        <f t="shared" si="83"/>
        <v>0</v>
      </c>
      <c r="AD132" s="17">
        <f t="shared" si="83"/>
        <v>0</v>
      </c>
    </row>
    <row r="133" spans="1:31" ht="13.5" thickBot="1" x14ac:dyDescent="0.25">
      <c r="C133" s="19">
        <f t="shared" ref="C133:O133" si="84">SUM(C104:C132)</f>
        <v>1234273</v>
      </c>
      <c r="D133" s="19">
        <f t="shared" si="84"/>
        <v>3786479</v>
      </c>
      <c r="E133" s="19">
        <f t="shared" si="84"/>
        <v>2711895</v>
      </c>
      <c r="F133" s="19">
        <f t="shared" si="84"/>
        <v>2721045</v>
      </c>
      <c r="G133" s="19">
        <f t="shared" si="84"/>
        <v>2681121</v>
      </c>
      <c r="H133" s="19">
        <f t="shared" si="84"/>
        <v>3882838</v>
      </c>
      <c r="I133" s="19">
        <f t="shared" si="84"/>
        <v>3990279</v>
      </c>
      <c r="J133" s="19">
        <f t="shared" si="84"/>
        <v>-21007930</v>
      </c>
      <c r="K133" s="19">
        <f t="shared" si="84"/>
        <v>0</v>
      </c>
      <c r="L133" s="19">
        <f t="shared" si="84"/>
        <v>0</v>
      </c>
      <c r="M133" s="19">
        <f t="shared" si="84"/>
        <v>0</v>
      </c>
      <c r="N133" s="19">
        <f t="shared" si="84"/>
        <v>0</v>
      </c>
      <c r="O133" s="19">
        <f t="shared" si="84"/>
        <v>0</v>
      </c>
      <c r="S133" s="19">
        <f t="shared" ref="S133:AD133" si="85">SUM(S104:S132)</f>
        <v>1234273</v>
      </c>
      <c r="T133" s="19">
        <f t="shared" si="85"/>
        <v>5020752</v>
      </c>
      <c r="U133" s="19">
        <f t="shared" si="85"/>
        <v>7732647</v>
      </c>
      <c r="V133" s="19">
        <f t="shared" si="85"/>
        <v>10453692</v>
      </c>
      <c r="W133" s="19">
        <f t="shared" si="85"/>
        <v>13134813</v>
      </c>
      <c r="X133" s="19">
        <f t="shared" si="85"/>
        <v>17017651</v>
      </c>
      <c r="Y133" s="19">
        <f t="shared" si="85"/>
        <v>21007930</v>
      </c>
      <c r="Z133" s="19">
        <f t="shared" si="85"/>
        <v>0</v>
      </c>
      <c r="AA133" s="19">
        <f t="shared" si="85"/>
        <v>0</v>
      </c>
      <c r="AB133" s="19">
        <f t="shared" si="85"/>
        <v>0</v>
      </c>
      <c r="AC133" s="19">
        <f t="shared" si="85"/>
        <v>0</v>
      </c>
      <c r="AD133" s="19">
        <f t="shared" si="85"/>
        <v>0</v>
      </c>
    </row>
    <row r="134" spans="1:31" ht="13.5" thickTop="1" x14ac:dyDescent="0.2">
      <c r="B134" t="s">
        <v>173</v>
      </c>
      <c r="C134" s="17">
        <f>C133</f>
        <v>1234273</v>
      </c>
      <c r="D134" s="17">
        <f>C134+D133</f>
        <v>5020752</v>
      </c>
      <c r="E134" s="17">
        <f t="shared" ref="E134" si="86">E133</f>
        <v>2711895</v>
      </c>
      <c r="F134" s="17">
        <f t="shared" ref="F134" si="87">F133</f>
        <v>2721045</v>
      </c>
      <c r="G134" s="17">
        <f t="shared" ref="G134" si="88">G133</f>
        <v>2681121</v>
      </c>
      <c r="H134" s="17">
        <f t="shared" ref="H134" si="89">H133</f>
        <v>3882838</v>
      </c>
      <c r="I134" s="17">
        <f t="shared" ref="I134" si="90">I133</f>
        <v>3990279</v>
      </c>
      <c r="J134" s="17">
        <f t="shared" ref="J134" si="91">J133</f>
        <v>-21007930</v>
      </c>
      <c r="K134" s="17">
        <f t="shared" ref="K134" si="92">K133</f>
        <v>0</v>
      </c>
      <c r="L134" s="17">
        <f t="shared" ref="L134" si="93">L133</f>
        <v>0</v>
      </c>
      <c r="M134" s="17">
        <f t="shared" ref="M134" si="94">M133</f>
        <v>0</v>
      </c>
      <c r="N134" s="17">
        <f t="shared" ref="N134" si="95">N133</f>
        <v>0</v>
      </c>
      <c r="O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</row>
    <row r="135" spans="1:31" x14ac:dyDescent="0.2">
      <c r="B135" t="s">
        <v>104</v>
      </c>
      <c r="C135" s="17">
        <f t="shared" ref="C135" si="96">S135</f>
        <v>0</v>
      </c>
      <c r="D135" s="17">
        <f t="shared" ref="D135" si="97">T135</f>
        <v>0</v>
      </c>
      <c r="E135" s="17">
        <f t="shared" ref="E135" si="98">U135</f>
        <v>0</v>
      </c>
      <c r="F135" s="17">
        <f t="shared" ref="F135" si="99">V135</f>
        <v>0</v>
      </c>
      <c r="G135" s="17">
        <f t="shared" ref="G135" si="100">W135</f>
        <v>0</v>
      </c>
      <c r="H135" s="17">
        <f t="shared" ref="H135" si="101">X135</f>
        <v>0</v>
      </c>
      <c r="I135" s="17">
        <f t="shared" ref="I135" si="102">Y135</f>
        <v>0</v>
      </c>
      <c r="J135" s="17">
        <f t="shared" ref="J135" si="103">Z135</f>
        <v>0</v>
      </c>
      <c r="K135" s="17">
        <f t="shared" ref="K135" si="104">AA135</f>
        <v>0</v>
      </c>
      <c r="L135" s="17">
        <f t="shared" ref="L135" si="105">AB135</f>
        <v>0</v>
      </c>
      <c r="M135" s="17">
        <f t="shared" ref="M135" si="106">AC135</f>
        <v>0</v>
      </c>
      <c r="N135" s="17">
        <f t="shared" ref="N135" si="107">AD135</f>
        <v>0</v>
      </c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</row>
    <row r="136" spans="1:31" x14ac:dyDescent="0.2">
      <c r="B136" t="s">
        <v>105</v>
      </c>
      <c r="C136" s="17">
        <f>C135-C134</f>
        <v>-1234273</v>
      </c>
      <c r="D136" s="17">
        <f t="shared" ref="D136" si="108">D135-D134</f>
        <v>-5020752</v>
      </c>
      <c r="E136" s="17">
        <f t="shared" ref="E136" si="109">E135-E134</f>
        <v>-2711895</v>
      </c>
      <c r="F136" s="17">
        <f t="shared" ref="F136" si="110">F135-F134</f>
        <v>-2721045</v>
      </c>
      <c r="G136" s="17">
        <f t="shared" ref="G136" si="111">G135-G134</f>
        <v>-2681121</v>
      </c>
      <c r="H136" s="17">
        <f t="shared" ref="H136" si="112">H135-H134</f>
        <v>-3882838</v>
      </c>
      <c r="I136" s="17">
        <f t="shared" ref="I136" si="113">I135-I134</f>
        <v>-3990279</v>
      </c>
      <c r="J136" s="17">
        <f t="shared" ref="J136" si="114">J135-J134</f>
        <v>21007930</v>
      </c>
      <c r="K136" s="17">
        <f t="shared" ref="K136" si="115">K135-K134</f>
        <v>0</v>
      </c>
      <c r="L136" s="17">
        <f t="shared" ref="L136" si="116">L135-L134</f>
        <v>0</v>
      </c>
      <c r="M136" s="17">
        <f t="shared" ref="M136" si="117">M135-M134</f>
        <v>0</v>
      </c>
      <c r="N136" s="17">
        <f t="shared" ref="N136" si="118">N135-N134</f>
        <v>0</v>
      </c>
      <c r="S136" s="17">
        <f>S135-S133</f>
        <v>-1234273</v>
      </c>
      <c r="T136" s="17">
        <f t="shared" ref="T136" si="119">T135-T133</f>
        <v>-5020752</v>
      </c>
      <c r="U136" s="17">
        <f t="shared" ref="U136" si="120">U135-U133</f>
        <v>-7732647</v>
      </c>
      <c r="V136" s="17">
        <f t="shared" ref="V136" si="121">V135-V133</f>
        <v>-10453692</v>
      </c>
      <c r="W136" s="17">
        <f t="shared" ref="W136" si="122">W135-W133</f>
        <v>-13134813</v>
      </c>
      <c r="X136" s="17">
        <f t="shared" ref="X136" si="123">X135-X133</f>
        <v>-17017651</v>
      </c>
      <c r="Y136" s="17">
        <f t="shared" ref="Y136" si="124">Y135-Y133</f>
        <v>-21007930</v>
      </c>
      <c r="Z136" s="17">
        <f t="shared" ref="Z136" si="125">Z135-Z133</f>
        <v>0</v>
      </c>
      <c r="AA136" s="17">
        <f t="shared" ref="AA136" si="126">AA135-AA133</f>
        <v>0</v>
      </c>
      <c r="AB136" s="17">
        <f t="shared" ref="AB136" si="127">AB135-AB133</f>
        <v>0</v>
      </c>
      <c r="AC136" s="17">
        <f t="shared" ref="AC136" si="128">AC135-AC133</f>
        <v>0</v>
      </c>
      <c r="AD136" s="17">
        <f t="shared" ref="AD136" si="129">AD135-AD133</f>
        <v>0</v>
      </c>
    </row>
    <row r="137" spans="1:31" x14ac:dyDescent="0.2"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</row>
    <row r="138" spans="1:31" x14ac:dyDescent="0.2">
      <c r="B138" t="s">
        <v>50</v>
      </c>
      <c r="C138" s="17">
        <f t="shared" ref="C138:C139" si="130">S138</f>
        <v>10072692</v>
      </c>
      <c r="D138" s="17">
        <f t="shared" ref="D138:D139" si="131">T138-S138</f>
        <v>18533072</v>
      </c>
      <c r="E138" s="17">
        <f t="shared" ref="E138:E139" si="132">U138-T138</f>
        <v>14658043</v>
      </c>
      <c r="F138" s="17">
        <f t="shared" ref="F138:F139" si="133">V138-U138</f>
        <v>12826095</v>
      </c>
      <c r="G138" s="17">
        <f t="shared" ref="G138:G139" si="134">W138-V138</f>
        <v>14928707</v>
      </c>
      <c r="H138" s="17">
        <f t="shared" ref="H138:H139" si="135">X138-W138</f>
        <v>20477304</v>
      </c>
      <c r="I138" s="17">
        <f t="shared" ref="I138:I139" si="136">Y138-X138</f>
        <v>61257807</v>
      </c>
      <c r="J138" s="17">
        <f t="shared" ref="J138:J139" si="137">Z138-Y138</f>
        <v>-152753720</v>
      </c>
      <c r="K138" s="17">
        <f t="shared" ref="K138:K139" si="138">AA138-Z138</f>
        <v>0</v>
      </c>
      <c r="L138" s="17">
        <f t="shared" ref="L138:L139" si="139">AB138-AA138</f>
        <v>0</v>
      </c>
      <c r="M138" s="17">
        <f t="shared" ref="M138:M139" si="140">AC138-AB138</f>
        <v>0</v>
      </c>
      <c r="N138" s="17">
        <f t="shared" ref="N138:N139" si="141">AD138-AC138</f>
        <v>0</v>
      </c>
      <c r="O138" s="17">
        <f t="shared" ref="O138:O139" si="142">SUM(C138:N138)</f>
        <v>0</v>
      </c>
      <c r="S138" s="17">
        <v>10072692</v>
      </c>
      <c r="T138" s="17">
        <v>28605764</v>
      </c>
      <c r="U138" s="17">
        <v>43263807</v>
      </c>
      <c r="V138" s="17">
        <v>56089902</v>
      </c>
      <c r="W138" s="17">
        <v>71018609</v>
      </c>
      <c r="X138" s="17">
        <v>91495913</v>
      </c>
      <c r="Y138" s="17">
        <v>152753720</v>
      </c>
      <c r="Z138" s="17"/>
      <c r="AA138" s="17"/>
      <c r="AB138" s="17"/>
      <c r="AC138" s="17"/>
      <c r="AD138" s="17"/>
    </row>
    <row r="139" spans="1:31" x14ac:dyDescent="0.2">
      <c r="B139" t="s">
        <v>210</v>
      </c>
      <c r="C139" s="17">
        <f t="shared" si="130"/>
        <v>3935901</v>
      </c>
      <c r="D139" s="17">
        <f t="shared" si="131"/>
        <v>2614269</v>
      </c>
      <c r="E139" s="17">
        <f t="shared" si="132"/>
        <v>3200330</v>
      </c>
      <c r="F139" s="17">
        <f t="shared" si="133"/>
        <v>5864411</v>
      </c>
      <c r="G139" s="17">
        <f t="shared" si="134"/>
        <v>2831466</v>
      </c>
      <c r="H139" s="17">
        <f t="shared" si="135"/>
        <v>3448866</v>
      </c>
      <c r="I139" s="17">
        <f t="shared" si="136"/>
        <v>2826115</v>
      </c>
      <c r="J139" s="17">
        <f t="shared" si="137"/>
        <v>-24721358</v>
      </c>
      <c r="K139" s="17">
        <f t="shared" si="138"/>
        <v>0</v>
      </c>
      <c r="L139" s="17">
        <f t="shared" si="139"/>
        <v>0</v>
      </c>
      <c r="M139" s="17">
        <f t="shared" si="140"/>
        <v>0</v>
      </c>
      <c r="N139" s="17">
        <f t="shared" si="141"/>
        <v>0</v>
      </c>
      <c r="O139" s="17">
        <f t="shared" si="142"/>
        <v>0</v>
      </c>
      <c r="S139" s="17">
        <v>3935901</v>
      </c>
      <c r="T139" s="17">
        <v>6550170</v>
      </c>
      <c r="U139" s="17">
        <v>9750500</v>
      </c>
      <c r="V139" s="17">
        <v>15614911</v>
      </c>
      <c r="W139" s="17">
        <v>18446377</v>
      </c>
      <c r="X139" s="17">
        <v>21895243</v>
      </c>
      <c r="Y139" s="17">
        <v>24721358</v>
      </c>
      <c r="Z139" s="17"/>
      <c r="AA139" s="17"/>
      <c r="AB139" s="17"/>
      <c r="AC139" s="17"/>
      <c r="AD139" s="17"/>
    </row>
    <row r="141" spans="1:31" x14ac:dyDescent="0.2">
      <c r="C141" t="s">
        <v>209</v>
      </c>
      <c r="S141" t="s">
        <v>208</v>
      </c>
    </row>
    <row r="142" spans="1:31" x14ac:dyDescent="0.2">
      <c r="C142" s="18">
        <v>41821</v>
      </c>
      <c r="D142" s="18">
        <v>41852</v>
      </c>
      <c r="E142" s="18">
        <v>41883</v>
      </c>
      <c r="F142" s="18">
        <v>41913</v>
      </c>
      <c r="G142" s="18">
        <v>41944</v>
      </c>
      <c r="H142" s="18">
        <v>41974</v>
      </c>
      <c r="I142" s="18">
        <v>42005</v>
      </c>
      <c r="J142" s="18">
        <v>42036</v>
      </c>
      <c r="K142" s="18">
        <v>42064</v>
      </c>
      <c r="L142" s="18">
        <v>42095</v>
      </c>
      <c r="M142" s="18">
        <v>42125</v>
      </c>
      <c r="N142" s="18">
        <v>42156</v>
      </c>
      <c r="O142" s="17" t="s">
        <v>206</v>
      </c>
      <c r="S142" s="18">
        <v>41821</v>
      </c>
      <c r="T142" s="18">
        <v>41852</v>
      </c>
      <c r="U142" s="18">
        <v>41883</v>
      </c>
      <c r="V142" s="18">
        <v>41913</v>
      </c>
      <c r="W142" s="18">
        <v>41944</v>
      </c>
      <c r="X142" s="18">
        <v>41974</v>
      </c>
      <c r="Y142" s="18">
        <v>42005</v>
      </c>
      <c r="Z142" s="18">
        <v>42036</v>
      </c>
      <c r="AA142" s="18">
        <v>42064</v>
      </c>
      <c r="AB142" s="18">
        <v>42095</v>
      </c>
      <c r="AC142" s="18">
        <v>42125</v>
      </c>
      <c r="AD142" s="18">
        <v>42156</v>
      </c>
    </row>
    <row r="143" spans="1:31" x14ac:dyDescent="0.2">
      <c r="A143" s="16" t="s">
        <v>33</v>
      </c>
      <c r="B143" s="16" t="s">
        <v>34</v>
      </c>
      <c r="C143" s="17">
        <f>S143</f>
        <v>0</v>
      </c>
      <c r="D143" s="17">
        <f t="shared" ref="D143:D171" si="143">T143-S143</f>
        <v>14737</v>
      </c>
      <c r="E143" s="17">
        <f t="shared" ref="E143:E171" si="144">U143-T143</f>
        <v>23914</v>
      </c>
      <c r="F143" s="17">
        <f t="shared" ref="F143:F171" si="145">V143-U143</f>
        <v>16666</v>
      </c>
      <c r="G143" s="17">
        <f t="shared" ref="G143:G171" si="146">W143-V143</f>
        <v>25709</v>
      </c>
      <c r="H143" s="17">
        <f t="shared" ref="H143:H171" si="147">X143-W143</f>
        <v>30318</v>
      </c>
      <c r="I143" s="17">
        <f t="shared" ref="I143:I171" si="148">Y143-X143</f>
        <v>43792</v>
      </c>
      <c r="J143" s="17">
        <f t="shared" ref="J143:J171" si="149">Z143-Y143</f>
        <v>20912</v>
      </c>
      <c r="K143" s="17">
        <f t="shared" ref="K143:K171" si="150">AA143-Z143</f>
        <v>24487</v>
      </c>
      <c r="L143" s="17">
        <f t="shared" ref="L143:L171" si="151">AB143-AA143</f>
        <v>15311</v>
      </c>
      <c r="M143" s="17">
        <f t="shared" ref="M143:M171" si="152">AC143-AB143</f>
        <v>17623</v>
      </c>
      <c r="N143" s="17">
        <f t="shared" ref="N143:N171" si="153">AD143-AC143</f>
        <v>-4258796</v>
      </c>
      <c r="O143" s="17">
        <f>SUM(C143:N143)</f>
        <v>-4025327</v>
      </c>
      <c r="S143" s="17"/>
      <c r="T143" s="17">
        <v>14737</v>
      </c>
      <c r="U143" s="17">
        <v>38651</v>
      </c>
      <c r="V143" s="17">
        <v>55317</v>
      </c>
      <c r="W143" s="17">
        <v>81026</v>
      </c>
      <c r="X143" s="17">
        <v>111344</v>
      </c>
      <c r="Y143" s="17">
        <v>155136</v>
      </c>
      <c r="Z143" s="17">
        <v>176048</v>
      </c>
      <c r="AA143" s="17">
        <v>200535</v>
      </c>
      <c r="AB143" s="17">
        <v>215846</v>
      </c>
      <c r="AC143" s="17">
        <v>233469</v>
      </c>
      <c r="AD143" s="17">
        <v>-4025327</v>
      </c>
      <c r="AE143" s="17"/>
    </row>
    <row r="144" spans="1:31" x14ac:dyDescent="0.2">
      <c r="A144" s="113" t="s">
        <v>35</v>
      </c>
      <c r="B144" s="113" t="s">
        <v>36</v>
      </c>
      <c r="C144" s="17">
        <f t="shared" ref="C144:C171" si="154">S144</f>
        <v>0</v>
      </c>
      <c r="D144" s="17">
        <f t="shared" si="143"/>
        <v>0</v>
      </c>
      <c r="E144" s="17">
        <f t="shared" si="144"/>
        <v>0</v>
      </c>
      <c r="F144" s="17">
        <f t="shared" si="145"/>
        <v>0</v>
      </c>
      <c r="G144" s="17">
        <f t="shared" si="146"/>
        <v>0</v>
      </c>
      <c r="H144" s="17">
        <f t="shared" si="147"/>
        <v>0</v>
      </c>
      <c r="I144" s="17">
        <f t="shared" si="148"/>
        <v>0</v>
      </c>
      <c r="J144" s="17">
        <f t="shared" si="149"/>
        <v>0</v>
      </c>
      <c r="K144" s="17">
        <f t="shared" si="150"/>
        <v>0</v>
      </c>
      <c r="L144" s="17">
        <f t="shared" si="151"/>
        <v>0</v>
      </c>
      <c r="M144" s="17">
        <f t="shared" si="152"/>
        <v>0</v>
      </c>
      <c r="N144" s="17">
        <f t="shared" si="153"/>
        <v>0</v>
      </c>
      <c r="O144" s="17">
        <f t="shared" ref="O144:O171" si="155">SUM(C144:N144)</f>
        <v>0</v>
      </c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</row>
    <row r="145" spans="1:31" x14ac:dyDescent="0.2">
      <c r="A145" s="16" t="s">
        <v>37</v>
      </c>
      <c r="B145" s="16" t="s">
        <v>38</v>
      </c>
      <c r="C145" s="17">
        <f t="shared" si="154"/>
        <v>0</v>
      </c>
      <c r="D145" s="17">
        <f t="shared" si="143"/>
        <v>0</v>
      </c>
      <c r="E145" s="17">
        <f t="shared" si="144"/>
        <v>0</v>
      </c>
      <c r="F145" s="17">
        <f t="shared" si="145"/>
        <v>0</v>
      </c>
      <c r="G145" s="17">
        <f t="shared" si="146"/>
        <v>127000</v>
      </c>
      <c r="H145" s="17">
        <f t="shared" si="147"/>
        <v>0</v>
      </c>
      <c r="I145" s="17">
        <f t="shared" si="148"/>
        <v>0</v>
      </c>
      <c r="J145" s="17">
        <f t="shared" si="149"/>
        <v>0</v>
      </c>
      <c r="K145" s="17">
        <f t="shared" si="150"/>
        <v>0</v>
      </c>
      <c r="L145" s="17">
        <f t="shared" si="151"/>
        <v>0</v>
      </c>
      <c r="M145" s="17">
        <f t="shared" si="152"/>
        <v>0</v>
      </c>
      <c r="N145" s="17">
        <f t="shared" si="153"/>
        <v>25000</v>
      </c>
      <c r="O145" s="17">
        <f t="shared" si="155"/>
        <v>152000</v>
      </c>
      <c r="S145" s="17"/>
      <c r="T145" s="17"/>
      <c r="U145" s="17"/>
      <c r="V145" s="17"/>
      <c r="W145" s="17">
        <v>127000</v>
      </c>
      <c r="X145" s="17">
        <v>127000</v>
      </c>
      <c r="Y145" s="17">
        <v>127000</v>
      </c>
      <c r="Z145" s="17">
        <v>127000</v>
      </c>
      <c r="AA145" s="17">
        <v>127000</v>
      </c>
      <c r="AB145" s="17">
        <v>127000</v>
      </c>
      <c r="AC145" s="17">
        <v>127000</v>
      </c>
      <c r="AD145" s="17">
        <v>152000</v>
      </c>
      <c r="AE145" s="17"/>
    </row>
    <row r="146" spans="1:31" x14ac:dyDescent="0.2">
      <c r="A146" s="113" t="s">
        <v>35</v>
      </c>
      <c r="B146" s="113" t="s">
        <v>36</v>
      </c>
      <c r="C146" s="17">
        <f t="shared" si="154"/>
        <v>1946</v>
      </c>
      <c r="D146" s="17">
        <f t="shared" si="143"/>
        <v>1087</v>
      </c>
      <c r="E146" s="17">
        <f t="shared" si="144"/>
        <v>3723</v>
      </c>
      <c r="F146" s="17">
        <f t="shared" si="145"/>
        <v>7805</v>
      </c>
      <c r="G146" s="17">
        <f t="shared" si="146"/>
        <v>11528</v>
      </c>
      <c r="H146" s="17">
        <f t="shared" si="147"/>
        <v>3249</v>
      </c>
      <c r="I146" s="17">
        <f t="shared" si="148"/>
        <v>3389</v>
      </c>
      <c r="J146" s="17">
        <f t="shared" si="149"/>
        <v>0</v>
      </c>
      <c r="K146" s="17">
        <f t="shared" si="150"/>
        <v>0</v>
      </c>
      <c r="L146" s="17">
        <f t="shared" si="151"/>
        <v>2371</v>
      </c>
      <c r="M146" s="17">
        <f t="shared" si="152"/>
        <v>7984</v>
      </c>
      <c r="N146" s="17">
        <f t="shared" si="153"/>
        <v>11317</v>
      </c>
      <c r="O146" s="17">
        <f t="shared" si="155"/>
        <v>54399</v>
      </c>
      <c r="S146" s="17">
        <v>1946</v>
      </c>
      <c r="T146" s="17">
        <v>3033</v>
      </c>
      <c r="U146" s="17">
        <v>6756</v>
      </c>
      <c r="V146" s="17">
        <v>14561</v>
      </c>
      <c r="W146" s="17">
        <v>26089</v>
      </c>
      <c r="X146" s="17">
        <v>29338</v>
      </c>
      <c r="Y146" s="17">
        <v>32727</v>
      </c>
      <c r="Z146" s="17">
        <v>32727</v>
      </c>
      <c r="AA146" s="17">
        <v>32727</v>
      </c>
      <c r="AB146" s="17">
        <v>35098</v>
      </c>
      <c r="AC146" s="17">
        <v>43082</v>
      </c>
      <c r="AD146" s="17">
        <v>54399</v>
      </c>
      <c r="AE146" s="17"/>
    </row>
    <row r="147" spans="1:31" x14ac:dyDescent="0.2">
      <c r="A147" s="16" t="s">
        <v>41</v>
      </c>
      <c r="B147" s="16" t="s">
        <v>42</v>
      </c>
      <c r="C147" s="17">
        <f t="shared" si="154"/>
        <v>-1372009</v>
      </c>
      <c r="D147" s="17">
        <f t="shared" si="143"/>
        <v>-2197828</v>
      </c>
      <c r="E147" s="17">
        <f t="shared" si="144"/>
        <v>-1355230</v>
      </c>
      <c r="F147" s="17">
        <f t="shared" si="145"/>
        <v>-1589272</v>
      </c>
      <c r="G147" s="17">
        <f t="shared" si="146"/>
        <v>-1385265</v>
      </c>
      <c r="H147" s="17">
        <f t="shared" si="147"/>
        <v>-1394182</v>
      </c>
      <c r="I147" s="17">
        <f t="shared" si="148"/>
        <v>-1533990</v>
      </c>
      <c r="J147" s="17">
        <f t="shared" si="149"/>
        <v>-1476466</v>
      </c>
      <c r="K147" s="17">
        <f t="shared" si="150"/>
        <v>-1439443</v>
      </c>
      <c r="L147" s="17">
        <f t="shared" si="151"/>
        <v>-1157895</v>
      </c>
      <c r="M147" s="17">
        <f t="shared" si="152"/>
        <v>-1399979</v>
      </c>
      <c r="N147" s="17">
        <f t="shared" si="153"/>
        <v>-1276775</v>
      </c>
      <c r="O147" s="17">
        <f t="shared" si="155"/>
        <v>-17578334</v>
      </c>
      <c r="S147" s="17">
        <v>-1372009</v>
      </c>
      <c r="T147" s="17">
        <v>-3569837</v>
      </c>
      <c r="U147" s="17">
        <v>-4925067</v>
      </c>
      <c r="V147" s="17">
        <v>-6514339</v>
      </c>
      <c r="W147" s="17">
        <v>-7899604</v>
      </c>
      <c r="X147" s="17">
        <v>-9293786</v>
      </c>
      <c r="Y147" s="17">
        <v>-10827776</v>
      </c>
      <c r="Z147" s="17">
        <v>-12304242</v>
      </c>
      <c r="AA147" s="17">
        <v>-13743685</v>
      </c>
      <c r="AB147" s="17">
        <v>-14901580</v>
      </c>
      <c r="AC147" s="17">
        <v>-16301559</v>
      </c>
      <c r="AD147" s="17">
        <v>-17578334</v>
      </c>
      <c r="AE147" s="17"/>
    </row>
    <row r="148" spans="1:31" x14ac:dyDescent="0.2">
      <c r="A148" s="16" t="s">
        <v>43</v>
      </c>
      <c r="B148" s="16" t="s">
        <v>44</v>
      </c>
      <c r="C148" s="17">
        <f t="shared" si="154"/>
        <v>154786</v>
      </c>
      <c r="D148" s="17">
        <f t="shared" si="143"/>
        <v>255</v>
      </c>
      <c r="E148" s="17">
        <f t="shared" si="144"/>
        <v>16</v>
      </c>
      <c r="F148" s="17">
        <f t="shared" si="145"/>
        <v>0</v>
      </c>
      <c r="G148" s="17">
        <f t="shared" si="146"/>
        <v>0</v>
      </c>
      <c r="H148" s="17">
        <f t="shared" si="147"/>
        <v>159</v>
      </c>
      <c r="I148" s="17">
        <f t="shared" si="148"/>
        <v>0</v>
      </c>
      <c r="J148" s="17">
        <f t="shared" si="149"/>
        <v>0</v>
      </c>
      <c r="K148" s="17">
        <f t="shared" si="150"/>
        <v>86</v>
      </c>
      <c r="L148" s="17">
        <f t="shared" si="151"/>
        <v>-341</v>
      </c>
      <c r="M148" s="17">
        <f t="shared" si="152"/>
        <v>9</v>
      </c>
      <c r="N148" s="17">
        <f t="shared" si="153"/>
        <v>105862</v>
      </c>
      <c r="O148" s="17">
        <f t="shared" si="155"/>
        <v>260832</v>
      </c>
      <c r="S148" s="17">
        <v>154786</v>
      </c>
      <c r="T148" s="17">
        <v>155041</v>
      </c>
      <c r="U148" s="17">
        <v>155057</v>
      </c>
      <c r="V148" s="17">
        <v>155057</v>
      </c>
      <c r="W148" s="17">
        <v>155057</v>
      </c>
      <c r="X148" s="17">
        <v>155216</v>
      </c>
      <c r="Y148" s="17">
        <v>155216</v>
      </c>
      <c r="Z148" s="17">
        <v>155216</v>
      </c>
      <c r="AA148" s="17">
        <v>155302</v>
      </c>
      <c r="AB148" s="17">
        <v>154961</v>
      </c>
      <c r="AC148" s="17">
        <v>154970</v>
      </c>
      <c r="AD148" s="17">
        <v>260832</v>
      </c>
      <c r="AE148" s="17"/>
    </row>
    <row r="149" spans="1:31" x14ac:dyDescent="0.2">
      <c r="A149" s="16" t="s">
        <v>45</v>
      </c>
      <c r="B149" s="16" t="s">
        <v>46</v>
      </c>
      <c r="C149" s="17">
        <f t="shared" si="154"/>
        <v>0</v>
      </c>
      <c r="D149" s="17">
        <f t="shared" si="143"/>
        <v>0</v>
      </c>
      <c r="E149" s="17">
        <f t="shared" si="144"/>
        <v>0</v>
      </c>
      <c r="F149" s="17">
        <f t="shared" si="145"/>
        <v>0</v>
      </c>
      <c r="G149" s="17">
        <f t="shared" si="146"/>
        <v>0</v>
      </c>
      <c r="H149" s="17">
        <f t="shared" si="147"/>
        <v>0</v>
      </c>
      <c r="I149" s="17">
        <f t="shared" si="148"/>
        <v>0</v>
      </c>
      <c r="J149" s="17">
        <f t="shared" si="149"/>
        <v>0</v>
      </c>
      <c r="K149" s="17">
        <f t="shared" si="150"/>
        <v>0</v>
      </c>
      <c r="L149" s="17">
        <f t="shared" si="151"/>
        <v>0</v>
      </c>
      <c r="M149" s="17">
        <f t="shared" si="152"/>
        <v>0</v>
      </c>
      <c r="N149" s="17">
        <f t="shared" si="153"/>
        <v>0</v>
      </c>
      <c r="O149" s="17">
        <f t="shared" si="155"/>
        <v>0</v>
      </c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</row>
    <row r="150" spans="1:31" x14ac:dyDescent="0.2">
      <c r="A150" s="16" t="s">
        <v>49</v>
      </c>
      <c r="B150" s="16" t="s">
        <v>50</v>
      </c>
      <c r="C150" s="17">
        <f t="shared" si="154"/>
        <v>-1642033</v>
      </c>
      <c r="D150" s="17">
        <f t="shared" si="143"/>
        <v>-641083</v>
      </c>
      <c r="E150" s="17">
        <f t="shared" si="144"/>
        <v>-455283</v>
      </c>
      <c r="F150" s="17">
        <f t="shared" si="145"/>
        <v>-483768</v>
      </c>
      <c r="G150" s="17">
        <f t="shared" si="146"/>
        <v>86438</v>
      </c>
      <c r="H150" s="17">
        <f t="shared" si="147"/>
        <v>-98882</v>
      </c>
      <c r="I150" s="17">
        <f t="shared" si="148"/>
        <v>-234764</v>
      </c>
      <c r="J150" s="17">
        <f t="shared" si="149"/>
        <v>-109158</v>
      </c>
      <c r="K150" s="17">
        <f t="shared" si="150"/>
        <v>1552107</v>
      </c>
      <c r="L150" s="17">
        <f t="shared" si="151"/>
        <v>2818239</v>
      </c>
      <c r="M150" s="17">
        <f t="shared" si="152"/>
        <v>-1551991</v>
      </c>
      <c r="N150" s="17">
        <f t="shared" si="153"/>
        <v>548849</v>
      </c>
      <c r="O150" s="17">
        <f t="shared" si="155"/>
        <v>-211329</v>
      </c>
      <c r="S150" s="17">
        <v>-1642033</v>
      </c>
      <c r="T150" s="17">
        <v>-2283116</v>
      </c>
      <c r="U150" s="17">
        <v>-2738399</v>
      </c>
      <c r="V150" s="17">
        <v>-3222167</v>
      </c>
      <c r="W150" s="17">
        <v>-3135729</v>
      </c>
      <c r="X150" s="17">
        <v>-3234611</v>
      </c>
      <c r="Y150" s="17">
        <v>-3469375</v>
      </c>
      <c r="Z150" s="17">
        <v>-3578533</v>
      </c>
      <c r="AA150" s="17">
        <v>-2026426</v>
      </c>
      <c r="AB150" s="17">
        <v>791813</v>
      </c>
      <c r="AC150" s="17">
        <v>-760178</v>
      </c>
      <c r="AD150" s="17">
        <v>-211329</v>
      </c>
      <c r="AE150" s="17"/>
    </row>
    <row r="151" spans="1:31" x14ac:dyDescent="0.2">
      <c r="A151" s="16" t="s">
        <v>51</v>
      </c>
      <c r="B151" s="16" t="s">
        <v>52</v>
      </c>
      <c r="C151" s="17">
        <f t="shared" si="154"/>
        <v>0</v>
      </c>
      <c r="D151" s="17">
        <f t="shared" si="143"/>
        <v>0</v>
      </c>
      <c r="E151" s="17">
        <f t="shared" si="144"/>
        <v>0</v>
      </c>
      <c r="F151" s="17">
        <f t="shared" si="145"/>
        <v>0</v>
      </c>
      <c r="G151" s="17">
        <f t="shared" si="146"/>
        <v>0</v>
      </c>
      <c r="H151" s="17">
        <f t="shared" si="147"/>
        <v>0</v>
      </c>
      <c r="I151" s="17">
        <f t="shared" si="148"/>
        <v>0</v>
      </c>
      <c r="J151" s="17">
        <f t="shared" si="149"/>
        <v>0</v>
      </c>
      <c r="K151" s="17">
        <f t="shared" si="150"/>
        <v>0</v>
      </c>
      <c r="L151" s="17">
        <f t="shared" si="151"/>
        <v>0</v>
      </c>
      <c r="M151" s="17">
        <f t="shared" si="152"/>
        <v>0</v>
      </c>
      <c r="N151" s="17">
        <f t="shared" si="153"/>
        <v>109</v>
      </c>
      <c r="O151" s="17">
        <f t="shared" si="155"/>
        <v>109</v>
      </c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>
        <v>109</v>
      </c>
      <c r="AE151" s="17"/>
    </row>
    <row r="152" spans="1:31" x14ac:dyDescent="0.2">
      <c r="A152" s="16" t="s">
        <v>53</v>
      </c>
      <c r="B152" s="16" t="s">
        <v>54</v>
      </c>
      <c r="C152" s="17">
        <f t="shared" si="154"/>
        <v>47268</v>
      </c>
      <c r="D152" s="17">
        <f t="shared" si="143"/>
        <v>19700</v>
      </c>
      <c r="E152" s="17">
        <f t="shared" si="144"/>
        <v>34730</v>
      </c>
      <c r="F152" s="17">
        <f t="shared" si="145"/>
        <v>146809</v>
      </c>
      <c r="G152" s="17">
        <f t="shared" si="146"/>
        <v>49786</v>
      </c>
      <c r="H152" s="17">
        <f t="shared" si="147"/>
        <v>50440</v>
      </c>
      <c r="I152" s="17">
        <f t="shared" si="148"/>
        <v>46765</v>
      </c>
      <c r="J152" s="17">
        <f t="shared" si="149"/>
        <v>18991</v>
      </c>
      <c r="K152" s="17">
        <f t="shared" si="150"/>
        <v>76238</v>
      </c>
      <c r="L152" s="17">
        <f t="shared" si="151"/>
        <v>102037</v>
      </c>
      <c r="M152" s="17">
        <f t="shared" si="152"/>
        <v>104154</v>
      </c>
      <c r="N152" s="17">
        <f t="shared" si="153"/>
        <v>80045</v>
      </c>
      <c r="O152" s="17">
        <f t="shared" si="155"/>
        <v>776963</v>
      </c>
      <c r="S152" s="17">
        <v>47268</v>
      </c>
      <c r="T152" s="17">
        <v>66968</v>
      </c>
      <c r="U152" s="17">
        <v>101698</v>
      </c>
      <c r="V152" s="17">
        <v>248507</v>
      </c>
      <c r="W152" s="17">
        <v>298293</v>
      </c>
      <c r="X152" s="17">
        <v>348733</v>
      </c>
      <c r="Y152" s="17">
        <v>395498</v>
      </c>
      <c r="Z152" s="17">
        <v>414489</v>
      </c>
      <c r="AA152" s="17">
        <v>490727</v>
      </c>
      <c r="AB152" s="17">
        <v>592764</v>
      </c>
      <c r="AC152" s="17">
        <v>696918</v>
      </c>
      <c r="AD152" s="17">
        <v>776963</v>
      </c>
      <c r="AE152" s="17"/>
    </row>
    <row r="153" spans="1:31" x14ac:dyDescent="0.2">
      <c r="A153" s="16" t="s">
        <v>57</v>
      </c>
      <c r="B153" s="16" t="s">
        <v>58</v>
      </c>
      <c r="C153" s="17">
        <f t="shared" si="154"/>
        <v>0</v>
      </c>
      <c r="D153" s="17">
        <f t="shared" si="143"/>
        <v>0</v>
      </c>
      <c r="E153" s="17">
        <f t="shared" si="144"/>
        <v>0</v>
      </c>
      <c r="F153" s="17">
        <f t="shared" si="145"/>
        <v>0</v>
      </c>
      <c r="G153" s="17">
        <f t="shared" si="146"/>
        <v>0</v>
      </c>
      <c r="H153" s="17">
        <f t="shared" si="147"/>
        <v>0</v>
      </c>
      <c r="I153" s="17">
        <f t="shared" si="148"/>
        <v>0</v>
      </c>
      <c r="J153" s="17">
        <f t="shared" si="149"/>
        <v>0</v>
      </c>
      <c r="K153" s="17">
        <f t="shared" si="150"/>
        <v>0</v>
      </c>
      <c r="L153" s="17">
        <f t="shared" si="151"/>
        <v>0</v>
      </c>
      <c r="M153" s="17">
        <f t="shared" si="152"/>
        <v>0</v>
      </c>
      <c r="N153" s="17">
        <f t="shared" si="153"/>
        <v>0</v>
      </c>
      <c r="O153" s="17">
        <f t="shared" si="155"/>
        <v>0</v>
      </c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</row>
    <row r="154" spans="1:31" x14ac:dyDescent="0.2">
      <c r="A154" s="16" t="s">
        <v>63</v>
      </c>
      <c r="B154" s="16" t="s">
        <v>64</v>
      </c>
      <c r="C154" s="17">
        <f t="shared" si="154"/>
        <v>459250</v>
      </c>
      <c r="D154" s="17">
        <f t="shared" si="143"/>
        <v>459250</v>
      </c>
      <c r="E154" s="17">
        <f t="shared" si="144"/>
        <v>459250</v>
      </c>
      <c r="F154" s="17">
        <f t="shared" si="145"/>
        <v>459250</v>
      </c>
      <c r="G154" s="17">
        <f t="shared" si="146"/>
        <v>459250</v>
      </c>
      <c r="H154" s="17">
        <f t="shared" si="147"/>
        <v>459250</v>
      </c>
      <c r="I154" s="17">
        <f t="shared" si="148"/>
        <v>459250</v>
      </c>
      <c r="J154" s="17">
        <f t="shared" si="149"/>
        <v>459250</v>
      </c>
      <c r="K154" s="17">
        <f t="shared" si="150"/>
        <v>459250</v>
      </c>
      <c r="L154" s="17">
        <f t="shared" si="151"/>
        <v>459250</v>
      </c>
      <c r="M154" s="17">
        <f t="shared" si="152"/>
        <v>459250</v>
      </c>
      <c r="N154" s="17">
        <f t="shared" si="153"/>
        <v>-4065075</v>
      </c>
      <c r="O154" s="17">
        <f t="shared" si="155"/>
        <v>986675</v>
      </c>
      <c r="S154" s="17">
        <v>459250</v>
      </c>
      <c r="T154" s="17">
        <v>918500</v>
      </c>
      <c r="U154" s="17">
        <v>1377750</v>
      </c>
      <c r="V154" s="17">
        <v>1837000</v>
      </c>
      <c r="W154" s="17">
        <v>2296250</v>
      </c>
      <c r="X154" s="17">
        <v>2755500</v>
      </c>
      <c r="Y154" s="17">
        <v>3214750</v>
      </c>
      <c r="Z154" s="17">
        <v>3674000</v>
      </c>
      <c r="AA154" s="17">
        <v>4133250</v>
      </c>
      <c r="AB154" s="17">
        <v>4592500</v>
      </c>
      <c r="AC154" s="17">
        <v>5051750</v>
      </c>
      <c r="AD154" s="17">
        <v>986675</v>
      </c>
      <c r="AE154" s="17"/>
    </row>
    <row r="155" spans="1:31" x14ac:dyDescent="0.2">
      <c r="A155" s="16" t="s">
        <v>65</v>
      </c>
      <c r="B155" s="16" t="s">
        <v>66</v>
      </c>
      <c r="C155" s="17">
        <f t="shared" si="154"/>
        <v>0</v>
      </c>
      <c r="D155" s="17">
        <f t="shared" si="143"/>
        <v>0</v>
      </c>
      <c r="E155" s="17">
        <f t="shared" si="144"/>
        <v>0</v>
      </c>
      <c r="F155" s="17">
        <f t="shared" si="145"/>
        <v>0</v>
      </c>
      <c r="G155" s="17">
        <f t="shared" si="146"/>
        <v>0</v>
      </c>
      <c r="H155" s="17">
        <f t="shared" si="147"/>
        <v>0</v>
      </c>
      <c r="I155" s="17">
        <f t="shared" si="148"/>
        <v>0</v>
      </c>
      <c r="J155" s="17">
        <f t="shared" si="149"/>
        <v>0</v>
      </c>
      <c r="K155" s="17">
        <f t="shared" si="150"/>
        <v>0</v>
      </c>
      <c r="L155" s="17">
        <f t="shared" si="151"/>
        <v>0</v>
      </c>
      <c r="M155" s="17">
        <f t="shared" si="152"/>
        <v>0</v>
      </c>
      <c r="N155" s="17">
        <f t="shared" si="153"/>
        <v>0</v>
      </c>
      <c r="O155" s="93">
        <f t="shared" si="155"/>
        <v>0</v>
      </c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</row>
    <row r="156" spans="1:31" x14ac:dyDescent="0.2">
      <c r="A156" s="16" t="s">
        <v>67</v>
      </c>
      <c r="B156" s="16" t="s">
        <v>68</v>
      </c>
      <c r="C156" s="17">
        <f t="shared" si="154"/>
        <v>0</v>
      </c>
      <c r="D156" s="17">
        <f t="shared" si="143"/>
        <v>0</v>
      </c>
      <c r="E156" s="17">
        <f t="shared" si="144"/>
        <v>0</v>
      </c>
      <c r="F156" s="17">
        <f t="shared" si="145"/>
        <v>0</v>
      </c>
      <c r="G156" s="17">
        <f t="shared" si="146"/>
        <v>0</v>
      </c>
      <c r="H156" s="17">
        <f t="shared" si="147"/>
        <v>0</v>
      </c>
      <c r="I156" s="17">
        <f t="shared" si="148"/>
        <v>0</v>
      </c>
      <c r="J156" s="17">
        <f t="shared" si="149"/>
        <v>0</v>
      </c>
      <c r="K156" s="17">
        <f t="shared" si="150"/>
        <v>0</v>
      </c>
      <c r="L156" s="17">
        <f t="shared" si="151"/>
        <v>0</v>
      </c>
      <c r="M156" s="17">
        <f t="shared" si="152"/>
        <v>0</v>
      </c>
      <c r="N156" s="17">
        <f t="shared" si="153"/>
        <v>41056</v>
      </c>
      <c r="O156" s="17">
        <f t="shared" si="155"/>
        <v>41056</v>
      </c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>
        <v>41056</v>
      </c>
      <c r="AE156" s="17"/>
    </row>
    <row r="157" spans="1:31" x14ac:dyDescent="0.2">
      <c r="A157" s="16" t="s">
        <v>69</v>
      </c>
      <c r="B157" s="16" t="s">
        <v>70</v>
      </c>
      <c r="C157" s="17">
        <f t="shared" si="154"/>
        <v>0</v>
      </c>
      <c r="D157" s="17">
        <f t="shared" si="143"/>
        <v>0</v>
      </c>
      <c r="E157" s="17">
        <f t="shared" si="144"/>
        <v>1061735</v>
      </c>
      <c r="F157" s="17">
        <f t="shared" si="145"/>
        <v>1312275</v>
      </c>
      <c r="G157" s="17">
        <f t="shared" si="146"/>
        <v>1103263</v>
      </c>
      <c r="H157" s="17">
        <f t="shared" si="147"/>
        <v>535335</v>
      </c>
      <c r="I157" s="17">
        <f t="shared" si="148"/>
        <v>9056</v>
      </c>
      <c r="J157" s="17">
        <f t="shared" si="149"/>
        <v>252089</v>
      </c>
      <c r="K157" s="17">
        <f t="shared" si="150"/>
        <v>88719</v>
      </c>
      <c r="L157" s="17">
        <f t="shared" si="151"/>
        <v>12302</v>
      </c>
      <c r="M157" s="17">
        <f t="shared" si="152"/>
        <v>0</v>
      </c>
      <c r="N157" s="17">
        <f t="shared" si="153"/>
        <v>0</v>
      </c>
      <c r="O157" s="17">
        <f t="shared" si="155"/>
        <v>4374774</v>
      </c>
      <c r="S157" s="17"/>
      <c r="T157" s="17"/>
      <c r="U157" s="17">
        <v>1061735</v>
      </c>
      <c r="V157" s="17">
        <v>2374010</v>
      </c>
      <c r="W157" s="17">
        <v>3477273</v>
      </c>
      <c r="X157" s="17">
        <v>4012608</v>
      </c>
      <c r="Y157" s="17">
        <v>4021664</v>
      </c>
      <c r="Z157" s="17">
        <v>4273753</v>
      </c>
      <c r="AA157" s="17">
        <v>4362472</v>
      </c>
      <c r="AB157" s="17">
        <v>4374774</v>
      </c>
      <c r="AC157" s="17">
        <v>4374774</v>
      </c>
      <c r="AD157" s="17">
        <v>4374774</v>
      </c>
      <c r="AE157" s="17"/>
    </row>
    <row r="158" spans="1:31" x14ac:dyDescent="0.2">
      <c r="A158" s="16" t="s">
        <v>71</v>
      </c>
      <c r="B158" s="16" t="s">
        <v>72</v>
      </c>
      <c r="C158" s="17">
        <f t="shared" si="154"/>
        <v>1296393</v>
      </c>
      <c r="D158" s="17">
        <f t="shared" si="143"/>
        <v>2418510</v>
      </c>
      <c r="E158" s="17">
        <f t="shared" si="144"/>
        <v>136770</v>
      </c>
      <c r="F158" s="17">
        <f t="shared" si="145"/>
        <v>0</v>
      </c>
      <c r="G158" s="17">
        <f t="shared" si="146"/>
        <v>0</v>
      </c>
      <c r="H158" s="17">
        <f t="shared" si="147"/>
        <v>0</v>
      </c>
      <c r="I158" s="17">
        <f t="shared" si="148"/>
        <v>0</v>
      </c>
      <c r="J158" s="17">
        <f t="shared" si="149"/>
        <v>0</v>
      </c>
      <c r="K158" s="17">
        <f t="shared" si="150"/>
        <v>0</v>
      </c>
      <c r="L158" s="17">
        <f t="shared" si="151"/>
        <v>0</v>
      </c>
      <c r="M158" s="17">
        <f t="shared" si="152"/>
        <v>0</v>
      </c>
      <c r="N158" s="17">
        <f t="shared" si="153"/>
        <v>0</v>
      </c>
      <c r="O158" s="17">
        <f t="shared" si="155"/>
        <v>3851673</v>
      </c>
      <c r="S158" s="17">
        <v>1296393</v>
      </c>
      <c r="T158" s="17">
        <v>3714903</v>
      </c>
      <c r="U158" s="17">
        <v>3851673</v>
      </c>
      <c r="V158" s="17">
        <v>3851673</v>
      </c>
      <c r="W158" s="17">
        <v>3851673</v>
      </c>
      <c r="X158" s="17">
        <v>3851673</v>
      </c>
      <c r="Y158" s="17">
        <v>3851673</v>
      </c>
      <c r="Z158" s="17">
        <v>3851673</v>
      </c>
      <c r="AA158" s="17">
        <v>3851673</v>
      </c>
      <c r="AB158" s="17">
        <v>3851673</v>
      </c>
      <c r="AC158" s="17">
        <v>3851673</v>
      </c>
      <c r="AD158" s="17">
        <v>3851673</v>
      </c>
      <c r="AE158" s="17"/>
    </row>
    <row r="159" spans="1:31" x14ac:dyDescent="0.2">
      <c r="A159" s="16" t="s">
        <v>73</v>
      </c>
      <c r="B159" s="16" t="s">
        <v>74</v>
      </c>
      <c r="C159" s="17">
        <f t="shared" si="154"/>
        <v>0</v>
      </c>
      <c r="D159" s="17">
        <f t="shared" si="143"/>
        <v>0</v>
      </c>
      <c r="E159" s="17">
        <f t="shared" si="144"/>
        <v>0</v>
      </c>
      <c r="F159" s="17">
        <f t="shared" si="145"/>
        <v>0</v>
      </c>
      <c r="G159" s="17">
        <f t="shared" si="146"/>
        <v>0</v>
      </c>
      <c r="H159" s="17">
        <f t="shared" si="147"/>
        <v>0</v>
      </c>
      <c r="I159" s="17">
        <f t="shared" si="148"/>
        <v>0</v>
      </c>
      <c r="J159" s="17">
        <f t="shared" si="149"/>
        <v>0</v>
      </c>
      <c r="K159" s="17">
        <f t="shared" si="150"/>
        <v>0</v>
      </c>
      <c r="L159" s="17">
        <f t="shared" si="151"/>
        <v>0</v>
      </c>
      <c r="M159" s="17">
        <f t="shared" si="152"/>
        <v>0</v>
      </c>
      <c r="N159" s="17">
        <f t="shared" si="153"/>
        <v>0</v>
      </c>
      <c r="O159" s="17">
        <f t="shared" si="155"/>
        <v>0</v>
      </c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</row>
    <row r="160" spans="1:31" x14ac:dyDescent="0.2">
      <c r="A160" s="16" t="s">
        <v>79</v>
      </c>
      <c r="B160" s="16" t="s">
        <v>80</v>
      </c>
      <c r="C160" s="17">
        <f t="shared" si="154"/>
        <v>114092</v>
      </c>
      <c r="D160" s="17">
        <f t="shared" si="143"/>
        <v>405711</v>
      </c>
      <c r="E160" s="17">
        <f t="shared" si="144"/>
        <v>429133</v>
      </c>
      <c r="F160" s="17">
        <f t="shared" si="145"/>
        <v>352347</v>
      </c>
      <c r="G160" s="17">
        <f t="shared" si="146"/>
        <v>355675</v>
      </c>
      <c r="H160" s="17">
        <f t="shared" si="147"/>
        <v>504450</v>
      </c>
      <c r="I160" s="17">
        <f t="shared" si="148"/>
        <v>731329</v>
      </c>
      <c r="J160" s="17">
        <f t="shared" si="149"/>
        <v>909659</v>
      </c>
      <c r="K160" s="17">
        <f t="shared" si="150"/>
        <v>838491</v>
      </c>
      <c r="L160" s="17">
        <f t="shared" si="151"/>
        <v>964675</v>
      </c>
      <c r="M160" s="17">
        <f t="shared" si="152"/>
        <v>994042</v>
      </c>
      <c r="N160" s="17">
        <f t="shared" si="153"/>
        <v>1943644</v>
      </c>
      <c r="O160" s="17">
        <f t="shared" si="155"/>
        <v>8543248</v>
      </c>
      <c r="S160" s="17">
        <v>114092</v>
      </c>
      <c r="T160" s="17">
        <v>519803</v>
      </c>
      <c r="U160" s="17">
        <v>948936</v>
      </c>
      <c r="V160" s="17">
        <v>1301283</v>
      </c>
      <c r="W160" s="17">
        <v>1656958</v>
      </c>
      <c r="X160" s="17">
        <v>2161408</v>
      </c>
      <c r="Y160" s="17">
        <v>2892737</v>
      </c>
      <c r="Z160" s="17">
        <v>3802396</v>
      </c>
      <c r="AA160" s="17">
        <v>4640887</v>
      </c>
      <c r="AB160" s="17">
        <v>5605562</v>
      </c>
      <c r="AC160" s="17">
        <v>6599604</v>
      </c>
      <c r="AD160" s="17">
        <v>8543248</v>
      </c>
      <c r="AE160" s="17"/>
    </row>
    <row r="161" spans="1:32" x14ac:dyDescent="0.2">
      <c r="A161" s="16" t="s">
        <v>81</v>
      </c>
      <c r="B161" s="16" t="s">
        <v>82</v>
      </c>
      <c r="C161" s="17">
        <f t="shared" si="154"/>
        <v>70672</v>
      </c>
      <c r="D161" s="17">
        <f t="shared" si="143"/>
        <v>0</v>
      </c>
      <c r="E161" s="17">
        <f t="shared" si="144"/>
        <v>0</v>
      </c>
      <c r="F161" s="17">
        <f t="shared" si="145"/>
        <v>0</v>
      </c>
      <c r="G161" s="17">
        <f t="shared" si="146"/>
        <v>0</v>
      </c>
      <c r="H161" s="17">
        <f t="shared" si="147"/>
        <v>0</v>
      </c>
      <c r="I161" s="17">
        <f t="shared" si="148"/>
        <v>0</v>
      </c>
      <c r="J161" s="17">
        <f t="shared" si="149"/>
        <v>0</v>
      </c>
      <c r="K161" s="17">
        <f t="shared" si="150"/>
        <v>0</v>
      </c>
      <c r="L161" s="17">
        <f t="shared" si="151"/>
        <v>-70</v>
      </c>
      <c r="M161" s="17">
        <f t="shared" si="152"/>
        <v>0</v>
      </c>
      <c r="N161" s="17">
        <f t="shared" si="153"/>
        <v>11</v>
      </c>
      <c r="O161" s="17">
        <f t="shared" si="155"/>
        <v>70613</v>
      </c>
      <c r="S161" s="17">
        <v>70672</v>
      </c>
      <c r="T161" s="17">
        <v>70672</v>
      </c>
      <c r="U161" s="17">
        <v>70672</v>
      </c>
      <c r="V161" s="17">
        <v>70672</v>
      </c>
      <c r="W161" s="17">
        <v>70672</v>
      </c>
      <c r="X161" s="17">
        <v>70672</v>
      </c>
      <c r="Y161" s="17">
        <v>70672</v>
      </c>
      <c r="Z161" s="17">
        <v>70672</v>
      </c>
      <c r="AA161" s="17">
        <v>70672</v>
      </c>
      <c r="AB161" s="17">
        <v>70602</v>
      </c>
      <c r="AC161" s="17">
        <v>70602</v>
      </c>
      <c r="AD161" s="17">
        <v>70613</v>
      </c>
      <c r="AE161" s="17"/>
    </row>
    <row r="162" spans="1:32" x14ac:dyDescent="0.2">
      <c r="A162" s="16" t="s">
        <v>83</v>
      </c>
      <c r="B162" s="16" t="s">
        <v>84</v>
      </c>
      <c r="C162" s="17">
        <f t="shared" si="154"/>
        <v>0</v>
      </c>
      <c r="D162" s="17">
        <f t="shared" si="143"/>
        <v>0</v>
      </c>
      <c r="E162" s="17">
        <f t="shared" si="144"/>
        <v>0</v>
      </c>
      <c r="F162" s="17">
        <f t="shared" si="145"/>
        <v>0</v>
      </c>
      <c r="G162" s="17">
        <f t="shared" si="146"/>
        <v>0</v>
      </c>
      <c r="H162" s="17">
        <f t="shared" si="147"/>
        <v>0</v>
      </c>
      <c r="I162" s="17">
        <f t="shared" si="148"/>
        <v>0</v>
      </c>
      <c r="J162" s="17">
        <f t="shared" si="149"/>
        <v>0</v>
      </c>
      <c r="K162" s="17">
        <f t="shared" si="150"/>
        <v>0</v>
      </c>
      <c r="L162" s="17">
        <f t="shared" si="151"/>
        <v>0</v>
      </c>
      <c r="M162" s="17">
        <f t="shared" si="152"/>
        <v>0</v>
      </c>
      <c r="N162" s="17">
        <f t="shared" si="153"/>
        <v>0</v>
      </c>
      <c r="O162" s="17">
        <f t="shared" si="155"/>
        <v>0</v>
      </c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</row>
    <row r="163" spans="1:32" x14ac:dyDescent="0.2">
      <c r="A163" s="16" t="s">
        <v>85</v>
      </c>
      <c r="B163" s="16" t="s">
        <v>86</v>
      </c>
      <c r="C163" s="17">
        <f t="shared" si="154"/>
        <v>0</v>
      </c>
      <c r="D163" s="17">
        <f t="shared" si="143"/>
        <v>0</v>
      </c>
      <c r="E163" s="17">
        <f t="shared" si="144"/>
        <v>0</v>
      </c>
      <c r="F163" s="17">
        <f t="shared" si="145"/>
        <v>0</v>
      </c>
      <c r="G163" s="17">
        <f t="shared" si="146"/>
        <v>-68</v>
      </c>
      <c r="H163" s="17">
        <f t="shared" si="147"/>
        <v>0</v>
      </c>
      <c r="I163" s="17">
        <f t="shared" si="148"/>
        <v>0</v>
      </c>
      <c r="J163" s="17">
        <f t="shared" si="149"/>
        <v>0</v>
      </c>
      <c r="K163" s="17">
        <f t="shared" si="150"/>
        <v>0</v>
      </c>
      <c r="L163" s="17">
        <f t="shared" si="151"/>
        <v>0</v>
      </c>
      <c r="M163" s="17">
        <f t="shared" si="152"/>
        <v>0</v>
      </c>
      <c r="N163" s="17">
        <f t="shared" si="153"/>
        <v>0</v>
      </c>
      <c r="O163" s="17">
        <f t="shared" si="155"/>
        <v>-68</v>
      </c>
      <c r="S163" s="17"/>
      <c r="T163" s="17"/>
      <c r="U163" s="17"/>
      <c r="V163" s="17"/>
      <c r="W163" s="17">
        <v>-68</v>
      </c>
      <c r="X163" s="17">
        <v>-68</v>
      </c>
      <c r="Y163" s="17">
        <v>-68</v>
      </c>
      <c r="Z163" s="17">
        <v>-68</v>
      </c>
      <c r="AA163" s="17">
        <v>-68</v>
      </c>
      <c r="AB163" s="17">
        <v>-68</v>
      </c>
      <c r="AC163" s="17">
        <v>-68</v>
      </c>
      <c r="AD163" s="17">
        <v>-68</v>
      </c>
      <c r="AE163" s="17"/>
    </row>
    <row r="164" spans="1:32" x14ac:dyDescent="0.2">
      <c r="A164" s="16" t="s">
        <v>87</v>
      </c>
      <c r="B164" s="16" t="s">
        <v>88</v>
      </c>
      <c r="C164" s="17">
        <f t="shared" si="154"/>
        <v>0</v>
      </c>
      <c r="D164" s="17">
        <f t="shared" si="143"/>
        <v>1830</v>
      </c>
      <c r="E164" s="17">
        <f t="shared" si="144"/>
        <v>0</v>
      </c>
      <c r="F164" s="17">
        <f t="shared" si="145"/>
        <v>1447</v>
      </c>
      <c r="G164" s="17">
        <f t="shared" si="146"/>
        <v>557005</v>
      </c>
      <c r="H164" s="17">
        <f t="shared" si="147"/>
        <v>0</v>
      </c>
      <c r="I164" s="17">
        <f t="shared" si="148"/>
        <v>0</v>
      </c>
      <c r="J164" s="17">
        <f t="shared" si="149"/>
        <v>0</v>
      </c>
      <c r="K164" s="17">
        <f t="shared" si="150"/>
        <v>0</v>
      </c>
      <c r="L164" s="17">
        <f t="shared" si="151"/>
        <v>18974</v>
      </c>
      <c r="M164" s="17">
        <f t="shared" si="152"/>
        <v>0</v>
      </c>
      <c r="N164" s="17">
        <f t="shared" si="153"/>
        <v>0</v>
      </c>
      <c r="O164" s="17">
        <f t="shared" si="155"/>
        <v>579256</v>
      </c>
      <c r="S164" s="17"/>
      <c r="T164" s="17">
        <v>1830</v>
      </c>
      <c r="U164" s="17">
        <v>1830</v>
      </c>
      <c r="V164" s="17">
        <v>3277</v>
      </c>
      <c r="W164" s="17">
        <v>560282</v>
      </c>
      <c r="X164" s="17">
        <v>560282</v>
      </c>
      <c r="Y164" s="17">
        <v>560282</v>
      </c>
      <c r="Z164" s="17">
        <v>560282</v>
      </c>
      <c r="AA164" s="17">
        <v>560282</v>
      </c>
      <c r="AB164" s="17">
        <v>579256</v>
      </c>
      <c r="AC164" s="17">
        <v>579256</v>
      </c>
      <c r="AD164" s="17">
        <v>579256</v>
      </c>
      <c r="AE164" s="17"/>
    </row>
    <row r="165" spans="1:32" x14ac:dyDescent="0.2">
      <c r="A165" s="16" t="s">
        <v>89</v>
      </c>
      <c r="B165" s="16" t="s">
        <v>90</v>
      </c>
      <c r="C165" s="17">
        <f t="shared" si="154"/>
        <v>0</v>
      </c>
      <c r="D165" s="17">
        <f t="shared" si="143"/>
        <v>0</v>
      </c>
      <c r="E165" s="17">
        <f t="shared" si="144"/>
        <v>0</v>
      </c>
      <c r="F165" s="17">
        <f t="shared" si="145"/>
        <v>0</v>
      </c>
      <c r="G165" s="17">
        <f t="shared" si="146"/>
        <v>0</v>
      </c>
      <c r="H165" s="17">
        <f t="shared" si="147"/>
        <v>-30455</v>
      </c>
      <c r="I165" s="17">
        <f t="shared" si="148"/>
        <v>-154523</v>
      </c>
      <c r="J165" s="17">
        <f t="shared" si="149"/>
        <v>-48013</v>
      </c>
      <c r="K165" s="17">
        <f t="shared" si="150"/>
        <v>0</v>
      </c>
      <c r="L165" s="17">
        <f t="shared" si="151"/>
        <v>0</v>
      </c>
      <c r="M165" s="17">
        <f t="shared" si="152"/>
        <v>0</v>
      </c>
      <c r="N165" s="17">
        <f t="shared" si="153"/>
        <v>-470</v>
      </c>
      <c r="O165" s="17">
        <f t="shared" si="155"/>
        <v>-233461</v>
      </c>
      <c r="S165" s="17"/>
      <c r="T165" s="17"/>
      <c r="U165" s="17"/>
      <c r="V165" s="17"/>
      <c r="W165" s="17"/>
      <c r="X165" s="17">
        <v>-30455</v>
      </c>
      <c r="Y165" s="17">
        <v>-184978</v>
      </c>
      <c r="Z165" s="17">
        <v>-232991</v>
      </c>
      <c r="AA165" s="17">
        <v>-232991</v>
      </c>
      <c r="AB165" s="17">
        <v>-232991</v>
      </c>
      <c r="AC165" s="17">
        <v>-232991</v>
      </c>
      <c r="AD165" s="17">
        <v>-233461</v>
      </c>
      <c r="AE165" s="17"/>
    </row>
    <row r="166" spans="1:32" x14ac:dyDescent="0.2">
      <c r="A166" s="16" t="s">
        <v>93</v>
      </c>
      <c r="B166" s="16" t="s">
        <v>94</v>
      </c>
      <c r="C166" s="17">
        <f t="shared" si="154"/>
        <v>0</v>
      </c>
      <c r="D166" s="17">
        <f t="shared" si="143"/>
        <v>0</v>
      </c>
      <c r="E166" s="17">
        <f t="shared" si="144"/>
        <v>0</v>
      </c>
      <c r="F166" s="17">
        <f t="shared" si="145"/>
        <v>0</v>
      </c>
      <c r="G166" s="17">
        <f t="shared" si="146"/>
        <v>0</v>
      </c>
      <c r="H166" s="17">
        <f t="shared" si="147"/>
        <v>0</v>
      </c>
      <c r="I166" s="17">
        <f t="shared" si="148"/>
        <v>0</v>
      </c>
      <c r="J166" s="17">
        <f t="shared" si="149"/>
        <v>0</v>
      </c>
      <c r="K166" s="17">
        <f t="shared" si="150"/>
        <v>1266247</v>
      </c>
      <c r="L166" s="17">
        <f t="shared" si="151"/>
        <v>0</v>
      </c>
      <c r="M166" s="17">
        <f t="shared" si="152"/>
        <v>-1266247</v>
      </c>
      <c r="N166" s="17">
        <f t="shared" si="153"/>
        <v>0</v>
      </c>
      <c r="O166" s="17">
        <f t="shared" si="155"/>
        <v>0</v>
      </c>
      <c r="S166" s="17"/>
      <c r="T166" s="17"/>
      <c r="U166" s="17"/>
      <c r="V166" s="17"/>
      <c r="W166" s="17"/>
      <c r="X166" s="17"/>
      <c r="Y166" s="17"/>
      <c r="Z166" s="17"/>
      <c r="AA166" s="17">
        <v>1266247</v>
      </c>
      <c r="AB166" s="17">
        <v>1266247</v>
      </c>
      <c r="AC166" s="17"/>
      <c r="AD166" s="17"/>
      <c r="AE166" s="17"/>
    </row>
    <row r="167" spans="1:32" x14ac:dyDescent="0.2">
      <c r="A167" s="16" t="s">
        <v>95</v>
      </c>
      <c r="B167" s="16" t="s">
        <v>96</v>
      </c>
      <c r="C167" s="17">
        <f t="shared" si="154"/>
        <v>0</v>
      </c>
      <c r="D167" s="17">
        <f t="shared" si="143"/>
        <v>0</v>
      </c>
      <c r="E167" s="17">
        <f t="shared" si="144"/>
        <v>0</v>
      </c>
      <c r="F167" s="17">
        <f t="shared" si="145"/>
        <v>0</v>
      </c>
      <c r="G167" s="17">
        <f t="shared" si="146"/>
        <v>0</v>
      </c>
      <c r="H167" s="17">
        <f t="shared" si="147"/>
        <v>0</v>
      </c>
      <c r="I167" s="17">
        <f t="shared" si="148"/>
        <v>0</v>
      </c>
      <c r="J167" s="17">
        <f t="shared" si="149"/>
        <v>0</v>
      </c>
      <c r="K167" s="17">
        <f t="shared" si="150"/>
        <v>0</v>
      </c>
      <c r="L167" s="17">
        <f t="shared" si="151"/>
        <v>0</v>
      </c>
      <c r="M167" s="17">
        <f t="shared" si="152"/>
        <v>0</v>
      </c>
      <c r="N167" s="17">
        <f t="shared" si="153"/>
        <v>-143067</v>
      </c>
      <c r="O167" s="17">
        <f t="shared" si="155"/>
        <v>-143067</v>
      </c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>
        <v>-143067</v>
      </c>
      <c r="AE167" s="17"/>
    </row>
    <row r="168" spans="1:32" x14ac:dyDescent="0.2">
      <c r="A168" s="16" t="s">
        <v>97</v>
      </c>
      <c r="B168" s="16" t="s">
        <v>98</v>
      </c>
      <c r="C168" s="17">
        <f t="shared" si="154"/>
        <v>0</v>
      </c>
      <c r="D168" s="17">
        <f t="shared" si="143"/>
        <v>0</v>
      </c>
      <c r="E168" s="17">
        <f t="shared" si="144"/>
        <v>0</v>
      </c>
      <c r="F168" s="17">
        <f t="shared" si="145"/>
        <v>0</v>
      </c>
      <c r="G168" s="17">
        <f t="shared" si="146"/>
        <v>0</v>
      </c>
      <c r="H168" s="17">
        <f t="shared" si="147"/>
        <v>0</v>
      </c>
      <c r="I168" s="17">
        <f t="shared" si="148"/>
        <v>0</v>
      </c>
      <c r="J168" s="17">
        <f t="shared" si="149"/>
        <v>0</v>
      </c>
      <c r="K168" s="17">
        <f t="shared" si="150"/>
        <v>0</v>
      </c>
      <c r="L168" s="17">
        <f t="shared" si="151"/>
        <v>0</v>
      </c>
      <c r="M168" s="17">
        <f t="shared" si="152"/>
        <v>0</v>
      </c>
      <c r="N168" s="17">
        <f t="shared" si="153"/>
        <v>-1043607</v>
      </c>
      <c r="O168" s="17">
        <f t="shared" si="155"/>
        <v>-1043607</v>
      </c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>
        <v>-1043607</v>
      </c>
      <c r="AE168" s="17"/>
    </row>
    <row r="169" spans="1:32" x14ac:dyDescent="0.2">
      <c r="A169" s="16" t="s">
        <v>133</v>
      </c>
      <c r="B169" s="16" t="s">
        <v>132</v>
      </c>
      <c r="C169" s="17">
        <f t="shared" si="154"/>
        <v>-73668</v>
      </c>
      <c r="D169" s="17">
        <f t="shared" si="143"/>
        <v>28938</v>
      </c>
      <c r="E169" s="17">
        <f t="shared" si="144"/>
        <v>20864</v>
      </c>
      <c r="F169" s="17">
        <f t="shared" si="145"/>
        <v>19533</v>
      </c>
      <c r="G169" s="17">
        <f t="shared" si="146"/>
        <v>24806</v>
      </c>
      <c r="H169" s="17">
        <f t="shared" si="147"/>
        <v>24441</v>
      </c>
      <c r="I169" s="17">
        <f t="shared" si="148"/>
        <v>16346</v>
      </c>
      <c r="J169" s="17">
        <f t="shared" si="149"/>
        <v>21968</v>
      </c>
      <c r="K169" s="17">
        <f t="shared" si="150"/>
        <v>24154</v>
      </c>
      <c r="L169" s="17">
        <f t="shared" si="151"/>
        <v>28190</v>
      </c>
      <c r="M169" s="17">
        <f t="shared" si="152"/>
        <v>27025</v>
      </c>
      <c r="N169" s="17">
        <f t="shared" si="153"/>
        <v>-73226</v>
      </c>
      <c r="O169" s="17">
        <f t="shared" si="155"/>
        <v>89371</v>
      </c>
      <c r="S169" s="17">
        <v>-73668</v>
      </c>
      <c r="T169" s="17">
        <v>-44730</v>
      </c>
      <c r="U169" s="17">
        <v>-23866</v>
      </c>
      <c r="V169" s="17">
        <v>-4333</v>
      </c>
      <c r="W169" s="17">
        <v>20473</v>
      </c>
      <c r="X169" s="17">
        <v>44914</v>
      </c>
      <c r="Y169" s="17">
        <v>61260</v>
      </c>
      <c r="Z169" s="17">
        <v>83228</v>
      </c>
      <c r="AA169" s="17">
        <v>107382</v>
      </c>
      <c r="AB169" s="17">
        <v>135572</v>
      </c>
      <c r="AC169" s="17">
        <v>162597</v>
      </c>
      <c r="AD169" s="17">
        <v>89371</v>
      </c>
      <c r="AE169" s="17"/>
    </row>
    <row r="170" spans="1:32" x14ac:dyDescent="0.2">
      <c r="A170" s="16" t="s">
        <v>99</v>
      </c>
      <c r="B170" s="16" t="s">
        <v>100</v>
      </c>
      <c r="C170" s="17">
        <f t="shared" si="154"/>
        <v>0</v>
      </c>
      <c r="D170" s="17">
        <f t="shared" si="143"/>
        <v>0</v>
      </c>
      <c r="E170" s="17">
        <f t="shared" si="144"/>
        <v>3</v>
      </c>
      <c r="F170" s="17">
        <f t="shared" si="145"/>
        <v>0</v>
      </c>
      <c r="G170" s="17">
        <f t="shared" si="146"/>
        <v>0</v>
      </c>
      <c r="H170" s="17">
        <f t="shared" si="147"/>
        <v>0</v>
      </c>
      <c r="I170" s="17">
        <f t="shared" si="148"/>
        <v>0</v>
      </c>
      <c r="J170" s="17">
        <f t="shared" si="149"/>
        <v>0</v>
      </c>
      <c r="K170" s="17">
        <f t="shared" si="150"/>
        <v>-2</v>
      </c>
      <c r="L170" s="17">
        <f t="shared" si="151"/>
        <v>0</v>
      </c>
      <c r="M170" s="17">
        <f t="shared" si="152"/>
        <v>0</v>
      </c>
      <c r="N170" s="17">
        <f t="shared" si="153"/>
        <v>0</v>
      </c>
      <c r="O170" s="17">
        <f t="shared" si="155"/>
        <v>1</v>
      </c>
      <c r="S170" s="17"/>
      <c r="T170" s="17"/>
      <c r="U170" s="17">
        <v>3</v>
      </c>
      <c r="V170" s="17">
        <v>3</v>
      </c>
      <c r="W170" s="17">
        <v>3</v>
      </c>
      <c r="X170" s="17">
        <v>3</v>
      </c>
      <c r="Y170" s="17">
        <v>3</v>
      </c>
      <c r="Z170" s="17">
        <v>3</v>
      </c>
      <c r="AA170" s="17">
        <v>1</v>
      </c>
      <c r="AB170" s="17">
        <v>1</v>
      </c>
      <c r="AC170" s="17">
        <v>1</v>
      </c>
      <c r="AD170" s="17">
        <v>1</v>
      </c>
      <c r="AE170" s="17"/>
    </row>
    <row r="171" spans="1:32" x14ac:dyDescent="0.2">
      <c r="A171" s="16" t="s">
        <v>101</v>
      </c>
      <c r="B171" s="16" t="s">
        <v>102</v>
      </c>
      <c r="C171" s="17">
        <f t="shared" si="154"/>
        <v>1372009</v>
      </c>
      <c r="D171" s="17">
        <f t="shared" si="143"/>
        <v>2197828</v>
      </c>
      <c r="E171" s="17">
        <f t="shared" si="144"/>
        <v>1355230</v>
      </c>
      <c r="F171" s="17">
        <f t="shared" si="145"/>
        <v>1589272</v>
      </c>
      <c r="G171" s="17">
        <f t="shared" si="146"/>
        <v>1385265</v>
      </c>
      <c r="H171" s="17">
        <f t="shared" si="147"/>
        <v>1394182</v>
      </c>
      <c r="I171" s="17">
        <f t="shared" si="148"/>
        <v>1533990</v>
      </c>
      <c r="J171" s="17">
        <f t="shared" si="149"/>
        <v>1476466</v>
      </c>
      <c r="K171" s="17">
        <f t="shared" si="150"/>
        <v>1439443</v>
      </c>
      <c r="L171" s="17">
        <f t="shared" si="151"/>
        <v>1157895</v>
      </c>
      <c r="M171" s="17">
        <f t="shared" si="152"/>
        <v>1399979</v>
      </c>
      <c r="N171" s="17">
        <f t="shared" si="153"/>
        <v>1276776</v>
      </c>
      <c r="O171" s="17">
        <f t="shared" si="155"/>
        <v>17578335</v>
      </c>
      <c r="S171" s="17">
        <v>1372009</v>
      </c>
      <c r="T171" s="17">
        <v>3569837</v>
      </c>
      <c r="U171" s="17">
        <v>4925067</v>
      </c>
      <c r="V171" s="17">
        <v>6514339</v>
      </c>
      <c r="W171" s="17">
        <v>7899604</v>
      </c>
      <c r="X171" s="17">
        <v>9293786</v>
      </c>
      <c r="Y171" s="17">
        <v>10827776</v>
      </c>
      <c r="Z171" s="17">
        <v>12304242</v>
      </c>
      <c r="AA171" s="17">
        <v>13743685</v>
      </c>
      <c r="AB171" s="17">
        <v>14901580</v>
      </c>
      <c r="AC171" s="17">
        <v>16301559</v>
      </c>
      <c r="AD171" s="17">
        <v>17578335</v>
      </c>
      <c r="AE171" s="17"/>
    </row>
    <row r="172" spans="1:32" ht="13.5" thickBot="1" x14ac:dyDescent="0.25">
      <c r="B172" s="16" t="s">
        <v>207</v>
      </c>
      <c r="C172" s="19">
        <f t="shared" ref="C172:O172" si="156">SUM(C143:C171)</f>
        <v>428706</v>
      </c>
      <c r="D172" s="19">
        <f t="shared" si="156"/>
        <v>2708935</v>
      </c>
      <c r="E172" s="19">
        <f t="shared" si="156"/>
        <v>1714855</v>
      </c>
      <c r="F172" s="19">
        <f t="shared" si="156"/>
        <v>1832364</v>
      </c>
      <c r="G172" s="19">
        <f t="shared" si="156"/>
        <v>2800392</v>
      </c>
      <c r="H172" s="19">
        <f t="shared" si="156"/>
        <v>1478305</v>
      </c>
      <c r="I172" s="19">
        <f t="shared" si="156"/>
        <v>920640</v>
      </c>
      <c r="J172" s="19">
        <f t="shared" si="156"/>
        <v>1525698</v>
      </c>
      <c r="K172" s="19">
        <f t="shared" si="156"/>
        <v>4329777</v>
      </c>
      <c r="L172" s="19">
        <f t="shared" si="156"/>
        <v>4420938</v>
      </c>
      <c r="M172" s="19">
        <f t="shared" si="156"/>
        <v>-1208151</v>
      </c>
      <c r="N172" s="19">
        <f t="shared" si="156"/>
        <v>-6828347</v>
      </c>
      <c r="O172" s="19">
        <f t="shared" si="156"/>
        <v>14124112</v>
      </c>
      <c r="S172" s="19">
        <f t="shared" ref="S172:AD172" si="157">SUM(S143:S171)</f>
        <v>428706</v>
      </c>
      <c r="T172" s="19">
        <f t="shared" si="157"/>
        <v>3137641</v>
      </c>
      <c r="U172" s="19">
        <f t="shared" si="157"/>
        <v>4852496</v>
      </c>
      <c r="V172" s="19">
        <f t="shared" si="157"/>
        <v>6684860</v>
      </c>
      <c r="W172" s="19">
        <f t="shared" si="157"/>
        <v>9485252</v>
      </c>
      <c r="X172" s="19">
        <f t="shared" si="157"/>
        <v>10963557</v>
      </c>
      <c r="Y172" s="19">
        <f t="shared" si="157"/>
        <v>11884197</v>
      </c>
      <c r="Z172" s="19">
        <f t="shared" si="157"/>
        <v>13409895</v>
      </c>
      <c r="AA172" s="19">
        <f t="shared" si="157"/>
        <v>17739672</v>
      </c>
      <c r="AB172" s="19">
        <f t="shared" si="157"/>
        <v>22160610</v>
      </c>
      <c r="AC172" s="19">
        <f t="shared" si="157"/>
        <v>20952459</v>
      </c>
      <c r="AD172" s="19">
        <f t="shared" si="157"/>
        <v>14124112</v>
      </c>
      <c r="AE172" s="17"/>
      <c r="AF172" s="17"/>
    </row>
    <row r="173" spans="1:32" ht="13.5" thickTop="1" x14ac:dyDescent="0.2">
      <c r="C173" s="17">
        <f>C172</f>
        <v>428706</v>
      </c>
      <c r="D173" s="17">
        <f>C173+D172</f>
        <v>3137641</v>
      </c>
      <c r="E173" s="17">
        <f t="shared" ref="E173:N173" si="158">E172</f>
        <v>1714855</v>
      </c>
      <c r="F173" s="17">
        <f t="shared" si="158"/>
        <v>1832364</v>
      </c>
      <c r="G173" s="17">
        <f t="shared" si="158"/>
        <v>2800392</v>
      </c>
      <c r="H173" s="17">
        <f t="shared" si="158"/>
        <v>1478305</v>
      </c>
      <c r="I173" s="17">
        <f t="shared" si="158"/>
        <v>920640</v>
      </c>
      <c r="J173" s="17">
        <f t="shared" si="158"/>
        <v>1525698</v>
      </c>
      <c r="K173" s="17">
        <f t="shared" si="158"/>
        <v>4329777</v>
      </c>
      <c r="L173" s="17">
        <f t="shared" si="158"/>
        <v>4420938</v>
      </c>
      <c r="M173" s="17">
        <f t="shared" si="158"/>
        <v>-1208151</v>
      </c>
      <c r="N173" s="17">
        <f t="shared" si="158"/>
        <v>-6828347</v>
      </c>
      <c r="O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</row>
    <row r="174" spans="1:32" x14ac:dyDescent="0.2">
      <c r="B174" t="s">
        <v>173</v>
      </c>
      <c r="C174" s="17">
        <f t="shared" ref="C174" si="159">S174</f>
        <v>428706</v>
      </c>
      <c r="D174" s="17">
        <f t="shared" ref="D174" si="160">T174</f>
        <v>3137641</v>
      </c>
      <c r="E174" s="17">
        <f t="shared" ref="E174" si="161">U174</f>
        <v>4852495</v>
      </c>
      <c r="F174" s="17">
        <f t="shared" ref="F174" si="162">V174</f>
        <v>6684859</v>
      </c>
      <c r="G174" s="17">
        <f t="shared" ref="G174" si="163">W174</f>
        <v>9485252</v>
      </c>
      <c r="H174" s="17">
        <f t="shared" ref="H174" si="164">X174</f>
        <v>10963558</v>
      </c>
      <c r="I174" s="17">
        <f t="shared" ref="I174" si="165">Y174</f>
        <v>11884198</v>
      </c>
      <c r="J174" s="17">
        <f t="shared" ref="J174" si="166">Z174</f>
        <v>13409896</v>
      </c>
      <c r="K174" s="17">
        <f t="shared" ref="K174" si="167">AA174</f>
        <v>17739673</v>
      </c>
      <c r="L174" s="17">
        <f t="shared" ref="L174" si="168">AB174</f>
        <v>22160611</v>
      </c>
      <c r="M174" s="17">
        <f t="shared" ref="M174" si="169">AC174</f>
        <v>20952458</v>
      </c>
      <c r="N174" s="17">
        <f t="shared" ref="N174" si="170">AD174</f>
        <v>14124134</v>
      </c>
      <c r="S174" s="17">
        <v>428706</v>
      </c>
      <c r="T174" s="17">
        <v>3137641</v>
      </c>
      <c r="U174" s="17">
        <v>4852495</v>
      </c>
      <c r="V174" s="17">
        <v>6684859</v>
      </c>
      <c r="W174" s="17">
        <v>9485252</v>
      </c>
      <c r="X174" s="17">
        <v>10963558</v>
      </c>
      <c r="Y174" s="17">
        <v>11884198</v>
      </c>
      <c r="Z174" s="17">
        <v>13409896</v>
      </c>
      <c r="AA174" s="17">
        <v>17739673</v>
      </c>
      <c r="AB174" s="17">
        <v>22160611</v>
      </c>
      <c r="AC174" s="17">
        <v>20952458</v>
      </c>
      <c r="AD174" s="17">
        <v>14124134</v>
      </c>
      <c r="AE174" s="17"/>
    </row>
    <row r="175" spans="1:32" x14ac:dyDescent="0.2">
      <c r="B175" t="s">
        <v>104</v>
      </c>
      <c r="C175" s="17">
        <f>C174-C173</f>
        <v>0</v>
      </c>
      <c r="D175" s="17">
        <f t="shared" ref="D175:N175" si="171">D174-D173</f>
        <v>0</v>
      </c>
      <c r="E175" s="17">
        <f t="shared" si="171"/>
        <v>3137640</v>
      </c>
      <c r="F175" s="17">
        <f t="shared" si="171"/>
        <v>4852495</v>
      </c>
      <c r="G175" s="17">
        <f t="shared" si="171"/>
        <v>6684860</v>
      </c>
      <c r="H175" s="17">
        <f t="shared" si="171"/>
        <v>9485253</v>
      </c>
      <c r="I175" s="17">
        <f t="shared" si="171"/>
        <v>10963558</v>
      </c>
      <c r="J175" s="17">
        <f t="shared" si="171"/>
        <v>11884198</v>
      </c>
      <c r="K175" s="17">
        <f t="shared" si="171"/>
        <v>13409896</v>
      </c>
      <c r="L175" s="17">
        <f t="shared" si="171"/>
        <v>17739673</v>
      </c>
      <c r="M175" s="17">
        <f t="shared" si="171"/>
        <v>22160609</v>
      </c>
      <c r="N175" s="17">
        <f t="shared" si="171"/>
        <v>20952481</v>
      </c>
      <c r="S175" s="17">
        <f>S174-S172</f>
        <v>0</v>
      </c>
      <c r="T175" s="17">
        <f t="shared" ref="T175:AD175" si="172">T174-T172</f>
        <v>0</v>
      </c>
      <c r="U175" s="17">
        <f t="shared" si="172"/>
        <v>-1</v>
      </c>
      <c r="V175" s="17">
        <f t="shared" si="172"/>
        <v>-1</v>
      </c>
      <c r="W175" s="17">
        <f t="shared" si="172"/>
        <v>0</v>
      </c>
      <c r="X175" s="17">
        <f t="shared" si="172"/>
        <v>1</v>
      </c>
      <c r="Y175" s="17">
        <f t="shared" si="172"/>
        <v>1</v>
      </c>
      <c r="Z175" s="17">
        <f t="shared" si="172"/>
        <v>1</v>
      </c>
      <c r="AA175" s="17">
        <f t="shared" si="172"/>
        <v>1</v>
      </c>
      <c r="AB175" s="17">
        <f t="shared" si="172"/>
        <v>1</v>
      </c>
      <c r="AC175" s="17">
        <f t="shared" si="172"/>
        <v>-1</v>
      </c>
      <c r="AD175" s="17">
        <f t="shared" si="172"/>
        <v>22</v>
      </c>
      <c r="AE175" s="17"/>
    </row>
    <row r="176" spans="1:32" x14ac:dyDescent="0.2">
      <c r="B176" t="s">
        <v>105</v>
      </c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</row>
    <row r="177" spans="1:31" x14ac:dyDescent="0.2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>
        <f>SUM(C177:N177)</f>
        <v>0</v>
      </c>
      <c r="S177" s="17">
        <v>1273901</v>
      </c>
      <c r="T177" s="17">
        <v>5707135</v>
      </c>
      <c r="U177" s="17">
        <v>10149128</v>
      </c>
      <c r="V177" s="17">
        <v>14376823</v>
      </c>
      <c r="W177" s="17">
        <v>18620806</v>
      </c>
      <c r="X177" s="17">
        <v>24992451</v>
      </c>
      <c r="Y177" s="17">
        <v>35804886</v>
      </c>
      <c r="Z177" s="17">
        <v>50220223</v>
      </c>
      <c r="AA177" s="17">
        <v>65031005</v>
      </c>
      <c r="AB177" s="17">
        <v>80553862</v>
      </c>
      <c r="AC177" s="17">
        <v>91639046</v>
      </c>
      <c r="AD177" s="17">
        <v>134425928</v>
      </c>
      <c r="AE177" s="17"/>
    </row>
    <row r="178" spans="1:31" x14ac:dyDescent="0.2">
      <c r="B178" t="s">
        <v>50</v>
      </c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>
        <f>SUM(C178:N178)</f>
        <v>0</v>
      </c>
      <c r="S178" s="17">
        <v>2864304</v>
      </c>
      <c r="T178" s="17">
        <v>5951263</v>
      </c>
      <c r="U178" s="17">
        <v>9462484</v>
      </c>
      <c r="V178" s="17">
        <v>13389061</v>
      </c>
      <c r="W178" s="17">
        <v>16670496</v>
      </c>
      <c r="X178" s="17">
        <v>19497983</v>
      </c>
      <c r="Y178" s="17">
        <v>21932978</v>
      </c>
      <c r="Z178" s="17">
        <v>24045401</v>
      </c>
      <c r="AA178" s="17">
        <v>26828332</v>
      </c>
      <c r="AB178" s="17">
        <v>30629816</v>
      </c>
      <c r="AC178" s="17">
        <v>34056566</v>
      </c>
      <c r="AD178" s="17">
        <v>35847161</v>
      </c>
      <c r="AE178" s="17"/>
    </row>
    <row r="179" spans="1:31" x14ac:dyDescent="0.2">
      <c r="B179" t="s">
        <v>210</v>
      </c>
      <c r="C179" s="17">
        <f t="shared" ref="C179" si="173">S179</f>
        <v>2635231</v>
      </c>
      <c r="D179" s="17">
        <f t="shared" ref="D179" si="174">T179-S179</f>
        <v>3631987</v>
      </c>
      <c r="E179" s="17">
        <f t="shared" ref="E179" si="175">U179-T179</f>
        <v>2921261</v>
      </c>
      <c r="F179" s="17">
        <f t="shared" ref="F179" si="176">V179-U179</f>
        <v>4306342</v>
      </c>
      <c r="G179" s="17">
        <f t="shared" ref="G179" si="177">W179-V179</f>
        <v>2711428</v>
      </c>
      <c r="H179" s="17">
        <f t="shared" ref="H179" si="178">X179-W179</f>
        <v>2895366</v>
      </c>
      <c r="I179" s="17">
        <f t="shared" ref="I179" si="179">Y179-X179</f>
        <v>2754724</v>
      </c>
      <c r="J179" s="17">
        <f t="shared" ref="J179" si="180">Z179-Y179</f>
        <v>3300794</v>
      </c>
      <c r="K179" s="17">
        <f t="shared" ref="K179" si="181">AA179-Z179</f>
        <v>4105027</v>
      </c>
      <c r="L179" s="17">
        <f t="shared" ref="L179" si="182">AB179-AA179</f>
        <v>1852777</v>
      </c>
      <c r="M179" s="17">
        <f t="shared" ref="M179" si="183">AC179-AB179</f>
        <v>2453168</v>
      </c>
      <c r="N179" s="17">
        <f t="shared" ref="N179" si="184">AD179-AC179</f>
        <v>7188216</v>
      </c>
      <c r="O179" s="17">
        <f>SUM(C179:N179)</f>
        <v>40756321</v>
      </c>
      <c r="S179" s="17">
        <v>2635231</v>
      </c>
      <c r="T179" s="17">
        <v>6267218</v>
      </c>
      <c r="U179" s="17">
        <v>9188479</v>
      </c>
      <c r="V179" s="17">
        <v>13494821</v>
      </c>
      <c r="W179" s="17">
        <v>16206249</v>
      </c>
      <c r="X179" s="17">
        <v>19101615</v>
      </c>
      <c r="Y179" s="17">
        <v>21856339</v>
      </c>
      <c r="Z179" s="17">
        <v>25157133</v>
      </c>
      <c r="AA179" s="17">
        <v>29262160</v>
      </c>
      <c r="AB179" s="17">
        <v>31114937</v>
      </c>
      <c r="AC179" s="17">
        <v>33568105</v>
      </c>
      <c r="AD179" s="17">
        <v>40756321</v>
      </c>
      <c r="AE179" s="17"/>
    </row>
    <row r="180" spans="1:31" x14ac:dyDescent="0.2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</row>
    <row r="181" spans="1:31" x14ac:dyDescent="0.2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</row>
    <row r="182" spans="1:31" x14ac:dyDescent="0.2"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</row>
    <row r="183" spans="1:31" x14ac:dyDescent="0.2">
      <c r="C183" s="18">
        <v>41456</v>
      </c>
      <c r="D183" s="18">
        <v>41487</v>
      </c>
      <c r="E183" s="18">
        <v>41518</v>
      </c>
      <c r="F183" s="18">
        <v>41548</v>
      </c>
      <c r="G183" s="18">
        <v>41579</v>
      </c>
      <c r="H183" s="18">
        <v>41609</v>
      </c>
      <c r="I183" s="18">
        <v>41640</v>
      </c>
      <c r="J183" s="18">
        <v>41671</v>
      </c>
      <c r="K183" s="18">
        <v>41699</v>
      </c>
      <c r="L183" s="18">
        <v>41730</v>
      </c>
      <c r="M183" s="18">
        <v>41760</v>
      </c>
      <c r="N183" s="18">
        <v>41791</v>
      </c>
      <c r="O183" s="17" t="s">
        <v>204</v>
      </c>
      <c r="S183" s="18">
        <v>41456</v>
      </c>
      <c r="T183" s="18">
        <v>41487</v>
      </c>
      <c r="U183" s="18">
        <v>41518</v>
      </c>
      <c r="V183" s="18">
        <v>41548</v>
      </c>
      <c r="W183" s="18">
        <v>41579</v>
      </c>
      <c r="X183" s="18">
        <v>41609</v>
      </c>
      <c r="Y183" s="18">
        <v>41640</v>
      </c>
      <c r="Z183" s="18">
        <v>41671</v>
      </c>
      <c r="AA183" s="18">
        <v>41699</v>
      </c>
      <c r="AB183" s="18">
        <v>41730</v>
      </c>
      <c r="AC183" s="18">
        <v>41760</v>
      </c>
      <c r="AD183" s="18">
        <v>41791</v>
      </c>
      <c r="AE183" s="17"/>
    </row>
    <row r="184" spans="1:31" x14ac:dyDescent="0.2">
      <c r="A184" s="16" t="s">
        <v>33</v>
      </c>
      <c r="B184" s="16" t="s">
        <v>34</v>
      </c>
      <c r="C184" s="17">
        <f>S184</f>
        <v>0</v>
      </c>
      <c r="D184" s="17">
        <f t="shared" ref="D184:D186" si="185">T184-S184</f>
        <v>8907</v>
      </c>
      <c r="E184" s="17">
        <f t="shared" ref="E184:E186" si="186">U184-T184</f>
        <v>13919</v>
      </c>
      <c r="F184" s="17">
        <f t="shared" ref="F184:F186" si="187">V184-U184</f>
        <v>18248</v>
      </c>
      <c r="G184" s="17">
        <f t="shared" ref="G184:G186" si="188">W184-V184</f>
        <v>31082</v>
      </c>
      <c r="H184" s="17">
        <f t="shared" ref="H184:H186" si="189">X184-W184</f>
        <v>25085</v>
      </c>
      <c r="I184" s="17">
        <f t="shared" ref="I184:I186" si="190">Y184-X184</f>
        <v>28287</v>
      </c>
      <c r="J184" s="17">
        <f t="shared" ref="J184:J186" si="191">Z184-Y184</f>
        <v>33310</v>
      </c>
      <c r="K184" s="17">
        <f t="shared" ref="K184:K186" si="192">AA184-Z184</f>
        <v>30125</v>
      </c>
      <c r="L184" s="17">
        <f t="shared" ref="L184:L186" si="193">AB184-AA184</f>
        <v>17057</v>
      </c>
      <c r="M184" s="17">
        <f t="shared" ref="M184:M186" si="194">AC184-AB184</f>
        <v>14280</v>
      </c>
      <c r="N184" s="17">
        <f t="shared" ref="N184:N186" si="195">AD184-AC184</f>
        <v>-374535</v>
      </c>
      <c r="O184" s="17">
        <f>SUM(C184:N184)</f>
        <v>-154235</v>
      </c>
      <c r="S184" s="17">
        <v>0</v>
      </c>
      <c r="T184" s="17">
        <v>8907</v>
      </c>
      <c r="U184" s="17">
        <v>22826</v>
      </c>
      <c r="V184" s="17">
        <v>41074</v>
      </c>
      <c r="W184" s="17">
        <v>72156</v>
      </c>
      <c r="X184" s="17">
        <v>97241</v>
      </c>
      <c r="Y184" s="17">
        <v>125528</v>
      </c>
      <c r="Z184" s="17">
        <v>158838</v>
      </c>
      <c r="AA184" s="17">
        <v>188963</v>
      </c>
      <c r="AB184" s="17">
        <v>206020</v>
      </c>
      <c r="AC184" s="17">
        <v>220300</v>
      </c>
      <c r="AD184" s="17">
        <v>-154235</v>
      </c>
      <c r="AE184" s="17"/>
    </row>
    <row r="185" spans="1:31" x14ac:dyDescent="0.2">
      <c r="A185" s="113" t="s">
        <v>35</v>
      </c>
      <c r="B185" s="113" t="s">
        <v>36</v>
      </c>
      <c r="C185" s="17">
        <f t="shared" ref="C185:C186" si="196">S185</f>
        <v>0</v>
      </c>
      <c r="D185" s="17">
        <f t="shared" si="185"/>
        <v>0</v>
      </c>
      <c r="E185" s="17">
        <f t="shared" si="186"/>
        <v>0</v>
      </c>
      <c r="F185" s="17">
        <f t="shared" si="187"/>
        <v>0</v>
      </c>
      <c r="G185" s="17">
        <f t="shared" si="188"/>
        <v>0</v>
      </c>
      <c r="H185" s="17">
        <f t="shared" si="189"/>
        <v>0</v>
      </c>
      <c r="I185" s="17">
        <f t="shared" si="190"/>
        <v>0</v>
      </c>
      <c r="J185" s="17">
        <f t="shared" si="191"/>
        <v>0</v>
      </c>
      <c r="K185" s="17">
        <f t="shared" si="192"/>
        <v>0</v>
      </c>
      <c r="L185" s="17">
        <f t="shared" si="193"/>
        <v>0</v>
      </c>
      <c r="M185" s="17">
        <f t="shared" si="194"/>
        <v>0</v>
      </c>
      <c r="N185" s="17">
        <f t="shared" si="195"/>
        <v>0</v>
      </c>
      <c r="O185" s="17">
        <f t="shared" ref="O185:O186" si="197">SUM(C185:N185)</f>
        <v>0</v>
      </c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</row>
    <row r="186" spans="1:31" x14ac:dyDescent="0.2">
      <c r="A186" s="16" t="s">
        <v>37</v>
      </c>
      <c r="B186" s="16" t="s">
        <v>38</v>
      </c>
      <c r="C186" s="17">
        <f t="shared" si="196"/>
        <v>0</v>
      </c>
      <c r="D186" s="17">
        <f t="shared" si="185"/>
        <v>0</v>
      </c>
      <c r="E186" s="17">
        <f t="shared" si="186"/>
        <v>112582</v>
      </c>
      <c r="F186" s="17">
        <f t="shared" si="187"/>
        <v>0</v>
      </c>
      <c r="G186" s="17">
        <f t="shared" si="188"/>
        <v>0</v>
      </c>
      <c r="H186" s="17">
        <f t="shared" si="189"/>
        <v>0</v>
      </c>
      <c r="I186" s="17">
        <f t="shared" si="190"/>
        <v>0</v>
      </c>
      <c r="J186" s="17">
        <f t="shared" si="191"/>
        <v>0</v>
      </c>
      <c r="K186" s="17">
        <f t="shared" si="192"/>
        <v>0</v>
      </c>
      <c r="L186" s="17">
        <f t="shared" si="193"/>
        <v>0</v>
      </c>
      <c r="M186" s="17">
        <f t="shared" si="194"/>
        <v>0</v>
      </c>
      <c r="N186" s="17">
        <f t="shared" si="195"/>
        <v>0</v>
      </c>
      <c r="O186" s="17">
        <f t="shared" si="197"/>
        <v>112582</v>
      </c>
      <c r="S186" s="17"/>
      <c r="T186" s="17"/>
      <c r="U186" s="17">
        <v>112582</v>
      </c>
      <c r="V186" s="17">
        <v>112582</v>
      </c>
      <c r="W186" s="17">
        <v>112582</v>
      </c>
      <c r="X186" s="17">
        <v>112582</v>
      </c>
      <c r="Y186" s="17">
        <v>112582</v>
      </c>
      <c r="Z186" s="17">
        <v>112582</v>
      </c>
      <c r="AA186" s="17">
        <v>112582</v>
      </c>
      <c r="AB186" s="17">
        <v>112582</v>
      </c>
      <c r="AC186" s="17">
        <v>112582</v>
      </c>
      <c r="AD186" s="17">
        <v>112582</v>
      </c>
      <c r="AE186" s="17"/>
    </row>
    <row r="187" spans="1:31" x14ac:dyDescent="0.2">
      <c r="A187" s="16" t="s">
        <v>41</v>
      </c>
      <c r="B187" s="16" t="s">
        <v>42</v>
      </c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</row>
    <row r="188" spans="1:31" x14ac:dyDescent="0.2">
      <c r="A188" s="16" t="s">
        <v>43</v>
      </c>
      <c r="B188" s="16" t="s">
        <v>44</v>
      </c>
      <c r="C188" s="17">
        <f t="shared" ref="C188:C194" si="198">S188</f>
        <v>1260</v>
      </c>
      <c r="D188" s="17">
        <f t="shared" ref="D188:D194" si="199">T188-S188</f>
        <v>15257</v>
      </c>
      <c r="E188" s="17">
        <f t="shared" ref="E188:E194" si="200">U188-T188</f>
        <v>7965</v>
      </c>
      <c r="F188" s="17">
        <f t="shared" ref="F188:F194" si="201">V188-U188</f>
        <v>12567</v>
      </c>
      <c r="G188" s="17">
        <f t="shared" ref="G188:G194" si="202">W188-V188</f>
        <v>5692</v>
      </c>
      <c r="H188" s="17">
        <f t="shared" ref="H188:H194" si="203">X188-W188</f>
        <v>10378</v>
      </c>
      <c r="I188" s="17">
        <f t="shared" ref="I188:I194" si="204">Y188-X188</f>
        <v>4994</v>
      </c>
      <c r="J188" s="17">
        <f t="shared" ref="J188:J194" si="205">Z188-Y188</f>
        <v>4097</v>
      </c>
      <c r="K188" s="17">
        <f t="shared" ref="K188:K194" si="206">AA188-Z188</f>
        <v>5660</v>
      </c>
      <c r="L188" s="17">
        <f t="shared" ref="L188:L194" si="207">AB188-AA188</f>
        <v>3186</v>
      </c>
      <c r="M188" s="17">
        <f t="shared" ref="M188:M194" si="208">AC188-AB188</f>
        <v>3632</v>
      </c>
      <c r="N188" s="17">
        <f t="shared" ref="N188:N194" si="209">AD188-AC188</f>
        <v>3186</v>
      </c>
      <c r="O188" s="17">
        <f t="shared" ref="O188:O194" si="210">SUM(C188:N188)</f>
        <v>77874</v>
      </c>
      <c r="S188" s="17">
        <v>1260</v>
      </c>
      <c r="T188" s="17">
        <v>16517</v>
      </c>
      <c r="U188" s="17">
        <v>24482</v>
      </c>
      <c r="V188" s="17">
        <v>37049</v>
      </c>
      <c r="W188" s="17">
        <v>42741</v>
      </c>
      <c r="X188" s="17">
        <v>53119</v>
      </c>
      <c r="Y188" s="17">
        <v>58113</v>
      </c>
      <c r="Z188" s="17">
        <v>62210</v>
      </c>
      <c r="AA188" s="17">
        <v>67870</v>
      </c>
      <c r="AB188" s="17">
        <v>71056</v>
      </c>
      <c r="AC188" s="17">
        <v>74688</v>
      </c>
      <c r="AD188" s="17">
        <v>77874</v>
      </c>
      <c r="AE188" s="17"/>
    </row>
    <row r="189" spans="1:31" x14ac:dyDescent="0.2">
      <c r="A189" s="16" t="s">
        <v>45</v>
      </c>
      <c r="B189" s="16" t="s">
        <v>46</v>
      </c>
      <c r="C189" s="17">
        <f t="shared" si="198"/>
        <v>-1389816</v>
      </c>
      <c r="D189" s="17">
        <f t="shared" si="199"/>
        <v>-2301160</v>
      </c>
      <c r="E189" s="17">
        <f t="shared" si="200"/>
        <v>-1455331</v>
      </c>
      <c r="F189" s="17">
        <f t="shared" si="201"/>
        <v>-1567974</v>
      </c>
      <c r="G189" s="17">
        <f t="shared" si="202"/>
        <v>-1490535</v>
      </c>
      <c r="H189" s="17">
        <f t="shared" si="203"/>
        <v>-1325405</v>
      </c>
      <c r="I189" s="17">
        <f t="shared" si="204"/>
        <v>-831539</v>
      </c>
      <c r="J189" s="17">
        <f t="shared" si="205"/>
        <v>-1381665</v>
      </c>
      <c r="K189" s="17">
        <f t="shared" si="206"/>
        <v>-2207280</v>
      </c>
      <c r="L189" s="17">
        <f t="shared" si="207"/>
        <v>-1346340</v>
      </c>
      <c r="M189" s="17">
        <f t="shared" si="208"/>
        <v>-1853592</v>
      </c>
      <c r="N189" s="17">
        <f t="shared" si="209"/>
        <v>-653261</v>
      </c>
      <c r="O189" s="17">
        <f t="shared" si="210"/>
        <v>-17803898</v>
      </c>
      <c r="S189" s="17">
        <v>-1389816</v>
      </c>
      <c r="T189" s="17">
        <v>-3690976</v>
      </c>
      <c r="U189" s="17">
        <v>-5146307</v>
      </c>
      <c r="V189" s="17">
        <v>-6714281</v>
      </c>
      <c r="W189" s="17">
        <v>-8204816</v>
      </c>
      <c r="X189" s="17">
        <v>-9530221</v>
      </c>
      <c r="Y189" s="17">
        <v>-10361760</v>
      </c>
      <c r="Z189" s="17">
        <v>-11743425</v>
      </c>
      <c r="AA189" s="17">
        <v>-13950705</v>
      </c>
      <c r="AB189" s="17">
        <v>-15297045</v>
      </c>
      <c r="AC189" s="17">
        <v>-17150637</v>
      </c>
      <c r="AD189" s="17">
        <v>-17803898</v>
      </c>
      <c r="AE189" s="17"/>
    </row>
    <row r="190" spans="1:31" x14ac:dyDescent="0.2">
      <c r="A190" s="16" t="s">
        <v>49</v>
      </c>
      <c r="B190" s="16" t="s">
        <v>50</v>
      </c>
      <c r="C190" s="17">
        <f t="shared" si="198"/>
        <v>4296</v>
      </c>
      <c r="D190" s="17">
        <f t="shared" si="199"/>
        <v>9971</v>
      </c>
      <c r="E190" s="17">
        <f t="shared" si="200"/>
        <v>130189</v>
      </c>
      <c r="F190" s="17">
        <f t="shared" si="201"/>
        <v>12083</v>
      </c>
      <c r="G190" s="17">
        <f t="shared" si="202"/>
        <v>66598</v>
      </c>
      <c r="H190" s="17">
        <f t="shared" si="203"/>
        <v>38596</v>
      </c>
      <c r="I190" s="17">
        <f t="shared" si="204"/>
        <v>55687</v>
      </c>
      <c r="J190" s="17">
        <f t="shared" si="205"/>
        <v>28446</v>
      </c>
      <c r="K190" s="17">
        <f t="shared" si="206"/>
        <v>4031</v>
      </c>
      <c r="L190" s="17">
        <f t="shared" si="207"/>
        <v>1914</v>
      </c>
      <c r="M190" s="17">
        <f t="shared" si="208"/>
        <v>30</v>
      </c>
      <c r="N190" s="17">
        <f t="shared" si="209"/>
        <v>-152401</v>
      </c>
      <c r="O190" s="17">
        <f t="shared" si="210"/>
        <v>199440</v>
      </c>
      <c r="S190" s="17">
        <v>4296</v>
      </c>
      <c r="T190" s="17">
        <v>14267</v>
      </c>
      <c r="U190" s="17">
        <v>144456</v>
      </c>
      <c r="V190" s="17">
        <v>156539</v>
      </c>
      <c r="W190" s="17">
        <v>223137</v>
      </c>
      <c r="X190" s="17">
        <v>261733</v>
      </c>
      <c r="Y190" s="17">
        <v>317420</v>
      </c>
      <c r="Z190" s="17">
        <v>345866</v>
      </c>
      <c r="AA190" s="17">
        <v>349897</v>
      </c>
      <c r="AB190" s="17">
        <v>351811</v>
      </c>
      <c r="AC190" s="17">
        <v>351841</v>
      </c>
      <c r="AD190" s="17">
        <v>199440</v>
      </c>
      <c r="AE190" s="17"/>
    </row>
    <row r="191" spans="1:31" x14ac:dyDescent="0.2">
      <c r="A191" s="16" t="s">
        <v>51</v>
      </c>
      <c r="B191" s="16" t="s">
        <v>52</v>
      </c>
      <c r="C191" s="17">
        <f t="shared" si="198"/>
        <v>0</v>
      </c>
      <c r="D191" s="17">
        <f t="shared" si="199"/>
        <v>0</v>
      </c>
      <c r="E191" s="17">
        <f t="shared" si="200"/>
        <v>0</v>
      </c>
      <c r="F191" s="17">
        <f t="shared" si="201"/>
        <v>0</v>
      </c>
      <c r="G191" s="17">
        <f t="shared" si="202"/>
        <v>0</v>
      </c>
      <c r="H191" s="17">
        <f t="shared" si="203"/>
        <v>0</v>
      </c>
      <c r="I191" s="17">
        <f t="shared" si="204"/>
        <v>0</v>
      </c>
      <c r="J191" s="17">
        <f t="shared" si="205"/>
        <v>0</v>
      </c>
      <c r="K191" s="17">
        <f t="shared" si="206"/>
        <v>0</v>
      </c>
      <c r="L191" s="17">
        <f t="shared" si="207"/>
        <v>0</v>
      </c>
      <c r="M191" s="17">
        <f t="shared" si="208"/>
        <v>0</v>
      </c>
      <c r="N191" s="17">
        <f t="shared" si="209"/>
        <v>0</v>
      </c>
      <c r="O191" s="17">
        <f t="shared" si="210"/>
        <v>0</v>
      </c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</row>
    <row r="192" spans="1:31" x14ac:dyDescent="0.2">
      <c r="A192" s="16" t="s">
        <v>53</v>
      </c>
      <c r="B192" s="16" t="s">
        <v>54</v>
      </c>
      <c r="C192" s="17">
        <f t="shared" si="198"/>
        <v>-823642</v>
      </c>
      <c r="D192" s="17">
        <f t="shared" si="199"/>
        <v>-118812</v>
      </c>
      <c r="E192" s="17">
        <f t="shared" si="200"/>
        <v>-563</v>
      </c>
      <c r="F192" s="17">
        <f t="shared" si="201"/>
        <v>-3179</v>
      </c>
      <c r="G192" s="17">
        <f t="shared" si="202"/>
        <v>-24815</v>
      </c>
      <c r="H192" s="17">
        <f t="shared" si="203"/>
        <v>-286307</v>
      </c>
      <c r="I192" s="17">
        <f t="shared" si="204"/>
        <v>207517</v>
      </c>
      <c r="J192" s="17">
        <f t="shared" si="205"/>
        <v>-354813</v>
      </c>
      <c r="K192" s="17">
        <f t="shared" si="206"/>
        <v>434839</v>
      </c>
      <c r="L192" s="17">
        <f t="shared" si="207"/>
        <v>-151299</v>
      </c>
      <c r="M192" s="17">
        <f t="shared" si="208"/>
        <v>-169831</v>
      </c>
      <c r="N192" s="17">
        <f t="shared" si="209"/>
        <v>424900</v>
      </c>
      <c r="O192" s="17">
        <f t="shared" si="210"/>
        <v>-866005</v>
      </c>
      <c r="S192" s="17">
        <v>-823642</v>
      </c>
      <c r="T192" s="17">
        <v>-942454</v>
      </c>
      <c r="U192" s="17">
        <v>-943017</v>
      </c>
      <c r="V192" s="17">
        <v>-946196</v>
      </c>
      <c r="W192" s="17">
        <v>-971011</v>
      </c>
      <c r="X192" s="17">
        <v>-1257318</v>
      </c>
      <c r="Y192" s="17">
        <v>-1049801</v>
      </c>
      <c r="Z192" s="17">
        <v>-1404614</v>
      </c>
      <c r="AA192" s="17">
        <v>-969775</v>
      </c>
      <c r="AB192" s="17">
        <v>-1121074</v>
      </c>
      <c r="AC192" s="17">
        <v>-1290905</v>
      </c>
      <c r="AD192" s="17">
        <v>-866005</v>
      </c>
      <c r="AE192" s="17"/>
    </row>
    <row r="193" spans="1:31" x14ac:dyDescent="0.2">
      <c r="A193" s="16" t="s">
        <v>57</v>
      </c>
      <c r="B193" s="16" t="s">
        <v>58</v>
      </c>
      <c r="C193" s="17">
        <f t="shared" si="198"/>
        <v>0</v>
      </c>
      <c r="D193" s="17">
        <f t="shared" si="199"/>
        <v>647</v>
      </c>
      <c r="E193" s="17">
        <f t="shared" si="200"/>
        <v>-637</v>
      </c>
      <c r="F193" s="17">
        <f t="shared" si="201"/>
        <v>0</v>
      </c>
      <c r="G193" s="17">
        <f t="shared" si="202"/>
        <v>2069</v>
      </c>
      <c r="H193" s="17">
        <f t="shared" si="203"/>
        <v>0</v>
      </c>
      <c r="I193" s="17">
        <f t="shared" si="204"/>
        <v>0</v>
      </c>
      <c r="J193" s="17">
        <f t="shared" si="205"/>
        <v>0</v>
      </c>
      <c r="K193" s="17">
        <f t="shared" si="206"/>
        <v>0</v>
      </c>
      <c r="L193" s="17">
        <f t="shared" si="207"/>
        <v>0</v>
      </c>
      <c r="M193" s="17">
        <f t="shared" si="208"/>
        <v>0</v>
      </c>
      <c r="N193" s="17">
        <f t="shared" si="209"/>
        <v>0</v>
      </c>
      <c r="O193" s="17">
        <f t="shared" si="210"/>
        <v>2079</v>
      </c>
      <c r="S193" s="17"/>
      <c r="T193" s="17">
        <v>647</v>
      </c>
      <c r="U193" s="17">
        <v>10</v>
      </c>
      <c r="V193" s="17">
        <v>10</v>
      </c>
      <c r="W193" s="17">
        <v>2079</v>
      </c>
      <c r="X193" s="17">
        <v>2079</v>
      </c>
      <c r="Y193" s="17">
        <v>2079</v>
      </c>
      <c r="Z193" s="17">
        <v>2079</v>
      </c>
      <c r="AA193" s="17">
        <v>2079</v>
      </c>
      <c r="AB193" s="17">
        <v>2079</v>
      </c>
      <c r="AC193" s="17">
        <v>2079</v>
      </c>
      <c r="AD193" s="17">
        <v>2079</v>
      </c>
      <c r="AE193" s="17"/>
    </row>
    <row r="194" spans="1:31" x14ac:dyDescent="0.2">
      <c r="A194" s="16" t="s">
        <v>63</v>
      </c>
      <c r="B194" s="16" t="s">
        <v>64</v>
      </c>
      <c r="C194" s="17">
        <f t="shared" si="198"/>
        <v>54515</v>
      </c>
      <c r="D194" s="17">
        <f t="shared" si="199"/>
        <v>39010</v>
      </c>
      <c r="E194" s="17">
        <f t="shared" si="200"/>
        <v>50136</v>
      </c>
      <c r="F194" s="17">
        <f t="shared" si="201"/>
        <v>105683</v>
      </c>
      <c r="G194" s="17">
        <f t="shared" si="202"/>
        <v>8400</v>
      </c>
      <c r="H194" s="17">
        <f t="shared" si="203"/>
        <v>101602</v>
      </c>
      <c r="I194" s="17">
        <f t="shared" si="204"/>
        <v>46844</v>
      </c>
      <c r="J194" s="17">
        <f t="shared" si="205"/>
        <v>35895</v>
      </c>
      <c r="K194" s="17">
        <f t="shared" si="206"/>
        <v>56447</v>
      </c>
      <c r="L194" s="17">
        <f t="shared" si="207"/>
        <v>77622</v>
      </c>
      <c r="M194" s="17">
        <f t="shared" si="208"/>
        <v>49197</v>
      </c>
      <c r="N194" s="17">
        <f t="shared" si="209"/>
        <v>53683</v>
      </c>
      <c r="O194" s="17">
        <f t="shared" si="210"/>
        <v>679034</v>
      </c>
      <c r="S194" s="17">
        <v>54515</v>
      </c>
      <c r="T194" s="17">
        <v>93525</v>
      </c>
      <c r="U194" s="17">
        <v>143661</v>
      </c>
      <c r="V194" s="17">
        <v>249344</v>
      </c>
      <c r="W194" s="17">
        <v>257744</v>
      </c>
      <c r="X194" s="17">
        <v>359346</v>
      </c>
      <c r="Y194" s="17">
        <v>406190</v>
      </c>
      <c r="Z194" s="17">
        <v>442085</v>
      </c>
      <c r="AA194" s="17">
        <v>498532</v>
      </c>
      <c r="AB194" s="17">
        <v>576154</v>
      </c>
      <c r="AC194" s="17">
        <v>625351</v>
      </c>
      <c r="AD194" s="17">
        <v>679034</v>
      </c>
      <c r="AE194" s="17"/>
    </row>
    <row r="195" spans="1:31" x14ac:dyDescent="0.2">
      <c r="A195" s="16" t="s">
        <v>65</v>
      </c>
      <c r="B195" s="16" t="s">
        <v>66</v>
      </c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</row>
    <row r="196" spans="1:31" x14ac:dyDescent="0.2">
      <c r="A196" s="16" t="s">
        <v>67</v>
      </c>
      <c r="B196" s="16" t="s">
        <v>68</v>
      </c>
      <c r="C196" s="17">
        <f t="shared" ref="C196:C213" si="211">S196</f>
        <v>-4253885</v>
      </c>
      <c r="D196" s="17">
        <f t="shared" ref="D196:D213" si="212">T196-S196</f>
        <v>449334</v>
      </c>
      <c r="E196" s="17">
        <f t="shared" ref="E196:E213" si="213">U196-T196</f>
        <v>467583</v>
      </c>
      <c r="F196" s="17">
        <f t="shared" ref="F196:F213" si="214">V196-U196</f>
        <v>5158635</v>
      </c>
      <c r="G196" s="17">
        <f t="shared" ref="G196:G213" si="215">W196-V196</f>
        <v>455416</v>
      </c>
      <c r="H196" s="17">
        <f t="shared" ref="H196:H213" si="216">X196-W196</f>
        <v>455417</v>
      </c>
      <c r="I196" s="17">
        <f t="shared" ref="I196:I213" si="217">Y196-X196</f>
        <v>455417</v>
      </c>
      <c r="J196" s="17">
        <f t="shared" ref="J196:J213" si="218">Z196-Y196</f>
        <v>455416</v>
      </c>
      <c r="K196" s="17">
        <f t="shared" ref="K196:K213" si="219">AA196-Z196</f>
        <v>455417</v>
      </c>
      <c r="L196" s="17">
        <f t="shared" ref="L196:L213" si="220">AB196-AA196</f>
        <v>455417</v>
      </c>
      <c r="M196" s="17">
        <f t="shared" ref="M196:M213" si="221">AC196-AB196</f>
        <v>0</v>
      </c>
      <c r="N196" s="17">
        <f t="shared" ref="N196:N213" si="222">AD196-AC196</f>
        <v>2200718</v>
      </c>
      <c r="O196" s="17">
        <f t="shared" ref="O196:O213" si="223">SUM(C196:N196)</f>
        <v>6754885</v>
      </c>
      <c r="S196" s="17">
        <v>-4253885</v>
      </c>
      <c r="T196" s="17">
        <v>-3804551</v>
      </c>
      <c r="U196" s="17">
        <v>-3336968</v>
      </c>
      <c r="V196" s="17">
        <v>1821667</v>
      </c>
      <c r="W196" s="17">
        <v>2277083</v>
      </c>
      <c r="X196" s="17">
        <v>2732500</v>
      </c>
      <c r="Y196" s="17">
        <v>3187917</v>
      </c>
      <c r="Z196" s="17">
        <v>3643333</v>
      </c>
      <c r="AA196" s="17">
        <v>4098750</v>
      </c>
      <c r="AB196" s="17">
        <v>4554167</v>
      </c>
      <c r="AC196" s="17">
        <v>4554167</v>
      </c>
      <c r="AD196" s="17">
        <v>6754885</v>
      </c>
      <c r="AE196" s="17"/>
    </row>
    <row r="197" spans="1:31" x14ac:dyDescent="0.2">
      <c r="A197" s="16" t="s">
        <v>69</v>
      </c>
      <c r="B197" s="16" t="s">
        <v>70</v>
      </c>
      <c r="C197" s="17">
        <f t="shared" si="211"/>
        <v>-36</v>
      </c>
      <c r="D197" s="17">
        <f t="shared" si="212"/>
        <v>0</v>
      </c>
      <c r="E197" s="17">
        <f t="shared" si="213"/>
        <v>0</v>
      </c>
      <c r="F197" s="17">
        <f t="shared" si="214"/>
        <v>0</v>
      </c>
      <c r="G197" s="17">
        <f t="shared" si="215"/>
        <v>0</v>
      </c>
      <c r="H197" s="17">
        <f t="shared" si="216"/>
        <v>0</v>
      </c>
      <c r="I197" s="17">
        <f t="shared" si="217"/>
        <v>0</v>
      </c>
      <c r="J197" s="17">
        <f t="shared" si="218"/>
        <v>0</v>
      </c>
      <c r="K197" s="17">
        <f t="shared" si="219"/>
        <v>0</v>
      </c>
      <c r="L197" s="17">
        <f t="shared" si="220"/>
        <v>0</v>
      </c>
      <c r="M197" s="17">
        <f t="shared" si="221"/>
        <v>0</v>
      </c>
      <c r="N197" s="17">
        <f t="shared" si="222"/>
        <v>0</v>
      </c>
      <c r="O197" s="93">
        <f t="shared" si="223"/>
        <v>-36</v>
      </c>
      <c r="S197" s="17">
        <v>-36</v>
      </c>
      <c r="T197" s="17">
        <v>-36</v>
      </c>
      <c r="U197" s="17">
        <v>-36</v>
      </c>
      <c r="V197" s="17">
        <v>-36</v>
      </c>
      <c r="W197" s="17">
        <v>-36</v>
      </c>
      <c r="X197" s="17">
        <v>-36</v>
      </c>
      <c r="Y197" s="17">
        <v>-36</v>
      </c>
      <c r="Z197" s="17">
        <v>-36</v>
      </c>
      <c r="AA197" s="17">
        <v>-36</v>
      </c>
      <c r="AB197" s="17">
        <v>-36</v>
      </c>
      <c r="AC197" s="17">
        <v>-36</v>
      </c>
      <c r="AD197" s="17">
        <v>-36</v>
      </c>
      <c r="AE197" s="17"/>
    </row>
    <row r="198" spans="1:31" x14ac:dyDescent="0.2">
      <c r="A198" s="16" t="s">
        <v>71</v>
      </c>
      <c r="B198" s="16" t="s">
        <v>72</v>
      </c>
      <c r="C198" s="17">
        <f t="shared" si="211"/>
        <v>23246</v>
      </c>
      <c r="D198" s="17">
        <f t="shared" si="212"/>
        <v>0</v>
      </c>
      <c r="E198" s="17">
        <f t="shared" si="213"/>
        <v>648942</v>
      </c>
      <c r="F198" s="17">
        <f t="shared" si="214"/>
        <v>0</v>
      </c>
      <c r="G198" s="17">
        <f t="shared" si="215"/>
        <v>329703</v>
      </c>
      <c r="H198" s="17">
        <f t="shared" si="216"/>
        <v>0</v>
      </c>
      <c r="I198" s="17">
        <f t="shared" si="217"/>
        <v>131732</v>
      </c>
      <c r="J198" s="17">
        <f t="shared" si="218"/>
        <v>115557</v>
      </c>
      <c r="K198" s="17">
        <f t="shared" si="219"/>
        <v>0</v>
      </c>
      <c r="L198" s="17">
        <f t="shared" si="220"/>
        <v>9460</v>
      </c>
      <c r="M198" s="17">
        <f t="shared" si="221"/>
        <v>0</v>
      </c>
      <c r="N198" s="17">
        <f t="shared" si="222"/>
        <v>0</v>
      </c>
      <c r="O198" s="17">
        <f t="shared" si="223"/>
        <v>1258640</v>
      </c>
      <c r="S198" s="17">
        <v>23246</v>
      </c>
      <c r="T198" s="17">
        <v>23246</v>
      </c>
      <c r="U198" s="17">
        <v>672188</v>
      </c>
      <c r="V198" s="17">
        <v>672188</v>
      </c>
      <c r="W198" s="17">
        <v>1001891</v>
      </c>
      <c r="X198" s="17">
        <v>1001891</v>
      </c>
      <c r="Y198" s="17">
        <v>1133623</v>
      </c>
      <c r="Z198" s="17">
        <v>1249180</v>
      </c>
      <c r="AA198" s="17">
        <v>1249180</v>
      </c>
      <c r="AB198" s="17">
        <v>1258640</v>
      </c>
      <c r="AC198" s="17">
        <v>1258640</v>
      </c>
      <c r="AD198" s="17">
        <v>1258640</v>
      </c>
      <c r="AE198" s="17"/>
    </row>
    <row r="199" spans="1:31" x14ac:dyDescent="0.2">
      <c r="A199" s="16" t="s">
        <v>73</v>
      </c>
      <c r="B199" s="16" t="s">
        <v>74</v>
      </c>
      <c r="C199" s="17">
        <f t="shared" si="211"/>
        <v>0</v>
      </c>
      <c r="D199" s="17">
        <f t="shared" si="212"/>
        <v>0</v>
      </c>
      <c r="E199" s="17">
        <f t="shared" si="213"/>
        <v>0</v>
      </c>
      <c r="F199" s="17">
        <f t="shared" si="214"/>
        <v>0</v>
      </c>
      <c r="G199" s="17">
        <f t="shared" si="215"/>
        <v>0</v>
      </c>
      <c r="H199" s="17">
        <f t="shared" si="216"/>
        <v>0</v>
      </c>
      <c r="I199" s="17">
        <f t="shared" si="217"/>
        <v>0</v>
      </c>
      <c r="J199" s="17">
        <f t="shared" si="218"/>
        <v>0</v>
      </c>
      <c r="K199" s="17">
        <f t="shared" si="219"/>
        <v>0</v>
      </c>
      <c r="L199" s="17">
        <f t="shared" si="220"/>
        <v>0</v>
      </c>
      <c r="M199" s="17">
        <f t="shared" si="221"/>
        <v>0</v>
      </c>
      <c r="N199" s="17">
        <f t="shared" si="222"/>
        <v>0</v>
      </c>
      <c r="O199" s="17">
        <f t="shared" si="223"/>
        <v>0</v>
      </c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</row>
    <row r="200" spans="1:31" x14ac:dyDescent="0.2">
      <c r="A200" s="16" t="s">
        <v>79</v>
      </c>
      <c r="B200" s="16" t="s">
        <v>80</v>
      </c>
      <c r="C200" s="17">
        <f t="shared" si="211"/>
        <v>692665</v>
      </c>
      <c r="D200" s="17">
        <f t="shared" si="212"/>
        <v>0</v>
      </c>
      <c r="E200" s="17">
        <f t="shared" si="213"/>
        <v>3357678</v>
      </c>
      <c r="F200" s="17">
        <f t="shared" si="214"/>
        <v>0</v>
      </c>
      <c r="G200" s="17">
        <f t="shared" si="215"/>
        <v>0</v>
      </c>
      <c r="H200" s="17">
        <f t="shared" si="216"/>
        <v>-2</v>
      </c>
      <c r="I200" s="17">
        <f t="shared" si="217"/>
        <v>2</v>
      </c>
      <c r="J200" s="17">
        <f t="shared" si="218"/>
        <v>0</v>
      </c>
      <c r="K200" s="17">
        <f t="shared" si="219"/>
        <v>0</v>
      </c>
      <c r="L200" s="17">
        <f t="shared" si="220"/>
        <v>0</v>
      </c>
      <c r="M200" s="17">
        <f t="shared" si="221"/>
        <v>0</v>
      </c>
      <c r="N200" s="17">
        <f t="shared" si="222"/>
        <v>0</v>
      </c>
      <c r="O200" s="17">
        <f t="shared" si="223"/>
        <v>4050343</v>
      </c>
      <c r="S200" s="17">
        <v>692665</v>
      </c>
      <c r="T200" s="17">
        <v>692665</v>
      </c>
      <c r="U200" s="17">
        <v>4050343</v>
      </c>
      <c r="V200" s="17">
        <v>4050343</v>
      </c>
      <c r="W200" s="17">
        <v>4050343</v>
      </c>
      <c r="X200" s="17">
        <v>4050341</v>
      </c>
      <c r="Y200" s="17">
        <v>4050343</v>
      </c>
      <c r="Z200" s="17">
        <v>4050343</v>
      </c>
      <c r="AA200" s="17">
        <v>4050343</v>
      </c>
      <c r="AB200" s="17">
        <v>4050343</v>
      </c>
      <c r="AC200" s="17">
        <v>4050343</v>
      </c>
      <c r="AD200" s="17">
        <v>4050343</v>
      </c>
      <c r="AE200" s="17"/>
    </row>
    <row r="201" spans="1:31" x14ac:dyDescent="0.2">
      <c r="A201" s="16" t="s">
        <v>81</v>
      </c>
      <c r="B201" s="16" t="s">
        <v>82</v>
      </c>
      <c r="C201" s="17">
        <f t="shared" si="211"/>
        <v>0</v>
      </c>
      <c r="D201" s="17">
        <f t="shared" si="212"/>
        <v>0</v>
      </c>
      <c r="E201" s="17">
        <f t="shared" si="213"/>
        <v>0</v>
      </c>
      <c r="F201" s="17">
        <f t="shared" si="214"/>
        <v>0</v>
      </c>
      <c r="G201" s="17">
        <f t="shared" si="215"/>
        <v>-150</v>
      </c>
      <c r="H201" s="17">
        <f t="shared" si="216"/>
        <v>0</v>
      </c>
      <c r="I201" s="17">
        <f t="shared" si="217"/>
        <v>0</v>
      </c>
      <c r="J201" s="17">
        <f t="shared" si="218"/>
        <v>0</v>
      </c>
      <c r="K201" s="17">
        <f t="shared" si="219"/>
        <v>0</v>
      </c>
      <c r="L201" s="17">
        <f t="shared" si="220"/>
        <v>0</v>
      </c>
      <c r="M201" s="17">
        <f t="shared" si="221"/>
        <v>0</v>
      </c>
      <c r="N201" s="17">
        <f t="shared" si="222"/>
        <v>0</v>
      </c>
      <c r="O201" s="17">
        <f t="shared" si="223"/>
        <v>-150</v>
      </c>
      <c r="S201" s="17"/>
      <c r="T201" s="17"/>
      <c r="U201" s="17"/>
      <c r="V201" s="17"/>
      <c r="W201" s="17">
        <v>-150</v>
      </c>
      <c r="X201" s="17">
        <v>-150</v>
      </c>
      <c r="Y201" s="17">
        <v>-150</v>
      </c>
      <c r="Z201" s="17">
        <v>-150</v>
      </c>
      <c r="AA201" s="17">
        <v>-150</v>
      </c>
      <c r="AB201" s="17">
        <v>-150</v>
      </c>
      <c r="AC201" s="17">
        <v>-150</v>
      </c>
      <c r="AD201" s="17">
        <v>-150</v>
      </c>
      <c r="AE201" s="17"/>
    </row>
    <row r="202" spans="1:31" x14ac:dyDescent="0.2">
      <c r="A202" s="16" t="s">
        <v>83</v>
      </c>
      <c r="B202" s="16" t="s">
        <v>84</v>
      </c>
      <c r="C202" s="17">
        <f t="shared" si="211"/>
        <v>-85576</v>
      </c>
      <c r="D202" s="17">
        <f t="shared" si="212"/>
        <v>123134</v>
      </c>
      <c r="E202" s="17">
        <f t="shared" si="213"/>
        <v>123810</v>
      </c>
      <c r="F202" s="17">
        <f t="shared" si="214"/>
        <v>114826</v>
      </c>
      <c r="G202" s="17">
        <f t="shared" si="215"/>
        <v>201041</v>
      </c>
      <c r="H202" s="17">
        <f t="shared" si="216"/>
        <v>228390</v>
      </c>
      <c r="I202" s="17">
        <f t="shared" si="217"/>
        <v>212313</v>
      </c>
      <c r="J202" s="17">
        <f t="shared" si="218"/>
        <v>116230</v>
      </c>
      <c r="K202" s="17">
        <f t="shared" si="219"/>
        <v>211157</v>
      </c>
      <c r="L202" s="17">
        <f t="shared" si="220"/>
        <v>150493</v>
      </c>
      <c r="M202" s="17">
        <f t="shared" si="221"/>
        <v>142767</v>
      </c>
      <c r="N202" s="17">
        <f t="shared" si="222"/>
        <v>425524</v>
      </c>
      <c r="O202" s="17">
        <f t="shared" si="223"/>
        <v>1964109</v>
      </c>
      <c r="S202" s="17">
        <v>-85576</v>
      </c>
      <c r="T202" s="17">
        <v>37558</v>
      </c>
      <c r="U202" s="17">
        <v>161368</v>
      </c>
      <c r="V202" s="17">
        <v>276194</v>
      </c>
      <c r="W202" s="17">
        <v>477235</v>
      </c>
      <c r="X202" s="17">
        <v>705625</v>
      </c>
      <c r="Y202" s="17">
        <v>917938</v>
      </c>
      <c r="Z202" s="17">
        <v>1034168</v>
      </c>
      <c r="AA202" s="17">
        <v>1245325</v>
      </c>
      <c r="AB202" s="17">
        <v>1395818</v>
      </c>
      <c r="AC202" s="17">
        <v>1538585</v>
      </c>
      <c r="AD202" s="17">
        <v>1964109</v>
      </c>
      <c r="AE202" s="17"/>
    </row>
    <row r="203" spans="1:31" x14ac:dyDescent="0.2">
      <c r="A203" s="16" t="s">
        <v>85</v>
      </c>
      <c r="B203" s="16" t="s">
        <v>86</v>
      </c>
      <c r="C203" s="17">
        <f t="shared" si="211"/>
        <v>-133811</v>
      </c>
      <c r="D203" s="17">
        <f t="shared" si="212"/>
        <v>0</v>
      </c>
      <c r="E203" s="17">
        <f t="shared" si="213"/>
        <v>0</v>
      </c>
      <c r="F203" s="17">
        <f t="shared" si="214"/>
        <v>14304</v>
      </c>
      <c r="G203" s="17">
        <f t="shared" si="215"/>
        <v>0</v>
      </c>
      <c r="H203" s="17">
        <f t="shared" si="216"/>
        <v>1440</v>
      </c>
      <c r="I203" s="17">
        <f t="shared" si="217"/>
        <v>1075</v>
      </c>
      <c r="J203" s="17">
        <f t="shared" si="218"/>
        <v>-2515</v>
      </c>
      <c r="K203" s="17">
        <f t="shared" si="219"/>
        <v>0</v>
      </c>
      <c r="L203" s="17">
        <f t="shared" si="220"/>
        <v>0</v>
      </c>
      <c r="M203" s="17">
        <f t="shared" si="221"/>
        <v>0</v>
      </c>
      <c r="N203" s="17">
        <f t="shared" si="222"/>
        <v>-70672</v>
      </c>
      <c r="O203" s="17">
        <f t="shared" si="223"/>
        <v>-190179</v>
      </c>
      <c r="S203" s="17">
        <v>-133811</v>
      </c>
      <c r="T203" s="17">
        <v>-133811</v>
      </c>
      <c r="U203" s="17">
        <v>-133811</v>
      </c>
      <c r="V203" s="17">
        <v>-119507</v>
      </c>
      <c r="W203" s="17">
        <v>-119507</v>
      </c>
      <c r="X203" s="17">
        <v>-118067</v>
      </c>
      <c r="Y203" s="17">
        <v>-116992</v>
      </c>
      <c r="Z203" s="17">
        <v>-119507</v>
      </c>
      <c r="AA203" s="17">
        <v>-119507</v>
      </c>
      <c r="AB203" s="17">
        <v>-119507</v>
      </c>
      <c r="AC203" s="17">
        <v>-119507</v>
      </c>
      <c r="AD203" s="17">
        <v>-190179</v>
      </c>
      <c r="AE203" s="17"/>
    </row>
    <row r="204" spans="1:31" x14ac:dyDescent="0.2">
      <c r="A204" s="16" t="s">
        <v>87</v>
      </c>
      <c r="B204" s="16" t="s">
        <v>88</v>
      </c>
      <c r="C204" s="17">
        <f t="shared" si="211"/>
        <v>0</v>
      </c>
      <c r="D204" s="17">
        <f t="shared" si="212"/>
        <v>189455</v>
      </c>
      <c r="E204" s="17">
        <f t="shared" si="213"/>
        <v>-189455</v>
      </c>
      <c r="F204" s="17">
        <f t="shared" si="214"/>
        <v>0</v>
      </c>
      <c r="G204" s="17">
        <f t="shared" si="215"/>
        <v>0</v>
      </c>
      <c r="H204" s="17">
        <f t="shared" si="216"/>
        <v>0</v>
      </c>
      <c r="I204" s="17">
        <f t="shared" si="217"/>
        <v>0</v>
      </c>
      <c r="J204" s="17">
        <f t="shared" si="218"/>
        <v>132400</v>
      </c>
      <c r="K204" s="17">
        <f t="shared" si="219"/>
        <v>0</v>
      </c>
      <c r="L204" s="17">
        <f t="shared" si="220"/>
        <v>0</v>
      </c>
      <c r="M204" s="17">
        <f t="shared" si="221"/>
        <v>0</v>
      </c>
      <c r="N204" s="17">
        <f t="shared" si="222"/>
        <v>-132400</v>
      </c>
      <c r="O204" s="17">
        <f t="shared" si="223"/>
        <v>0</v>
      </c>
      <c r="S204" s="17"/>
      <c r="T204" s="17">
        <v>189455</v>
      </c>
      <c r="U204" s="17"/>
      <c r="V204" s="17"/>
      <c r="W204" s="17"/>
      <c r="X204" s="17"/>
      <c r="Y204" s="17"/>
      <c r="Z204" s="17">
        <v>132400</v>
      </c>
      <c r="AA204" s="17">
        <v>132400</v>
      </c>
      <c r="AB204" s="17">
        <v>132400</v>
      </c>
      <c r="AC204" s="17">
        <v>132400</v>
      </c>
      <c r="AD204" s="17">
        <v>0</v>
      </c>
      <c r="AE204" s="17"/>
    </row>
    <row r="205" spans="1:31" x14ac:dyDescent="0.2">
      <c r="A205" s="16" t="s">
        <v>89</v>
      </c>
      <c r="B205" s="16" t="s">
        <v>90</v>
      </c>
      <c r="C205" s="17">
        <f t="shared" si="211"/>
        <v>0</v>
      </c>
      <c r="D205" s="17">
        <f t="shared" si="212"/>
        <v>0</v>
      </c>
      <c r="E205" s="17">
        <f t="shared" si="213"/>
        <v>0</v>
      </c>
      <c r="F205" s="17">
        <f t="shared" si="214"/>
        <v>0</v>
      </c>
      <c r="G205" s="17">
        <f t="shared" si="215"/>
        <v>0</v>
      </c>
      <c r="H205" s="17">
        <f t="shared" si="216"/>
        <v>0</v>
      </c>
      <c r="I205" s="17">
        <f t="shared" si="217"/>
        <v>0</v>
      </c>
      <c r="J205" s="17">
        <f t="shared" si="218"/>
        <v>0</v>
      </c>
      <c r="K205" s="17">
        <f t="shared" si="219"/>
        <v>0</v>
      </c>
      <c r="L205" s="17">
        <f t="shared" si="220"/>
        <v>0</v>
      </c>
      <c r="M205" s="17">
        <f t="shared" si="221"/>
        <v>0</v>
      </c>
      <c r="N205" s="17">
        <f t="shared" si="222"/>
        <v>0</v>
      </c>
      <c r="O205" s="17">
        <f t="shared" si="223"/>
        <v>0</v>
      </c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</row>
    <row r="206" spans="1:31" x14ac:dyDescent="0.2">
      <c r="A206" s="16" t="s">
        <v>93</v>
      </c>
      <c r="B206" s="16" t="s">
        <v>94</v>
      </c>
      <c r="C206" s="17">
        <f t="shared" si="211"/>
        <v>0</v>
      </c>
      <c r="D206" s="17">
        <f t="shared" si="212"/>
        <v>1848</v>
      </c>
      <c r="E206" s="17">
        <f t="shared" si="213"/>
        <v>0</v>
      </c>
      <c r="F206" s="17">
        <f t="shared" si="214"/>
        <v>115005</v>
      </c>
      <c r="G206" s="17">
        <f t="shared" si="215"/>
        <v>152146</v>
      </c>
      <c r="H206" s="17">
        <f t="shared" si="216"/>
        <v>309920</v>
      </c>
      <c r="I206" s="17">
        <f t="shared" si="217"/>
        <v>129</v>
      </c>
      <c r="J206" s="17">
        <f t="shared" si="218"/>
        <v>-128</v>
      </c>
      <c r="K206" s="17">
        <f t="shared" si="219"/>
        <v>0</v>
      </c>
      <c r="L206" s="17">
        <f t="shared" si="220"/>
        <v>11105</v>
      </c>
      <c r="M206" s="17">
        <f t="shared" si="221"/>
        <v>735</v>
      </c>
      <c r="N206" s="17">
        <f t="shared" si="222"/>
        <v>-11840</v>
      </c>
      <c r="O206" s="17">
        <f t="shared" si="223"/>
        <v>578920</v>
      </c>
      <c r="S206" s="17"/>
      <c r="T206" s="17">
        <v>1848</v>
      </c>
      <c r="U206" s="17">
        <v>1848</v>
      </c>
      <c r="V206" s="17">
        <v>116853</v>
      </c>
      <c r="W206" s="17">
        <v>268999</v>
      </c>
      <c r="X206" s="17">
        <v>578919</v>
      </c>
      <c r="Y206" s="17">
        <v>579048</v>
      </c>
      <c r="Z206" s="17">
        <v>578920</v>
      </c>
      <c r="AA206" s="17">
        <v>578920</v>
      </c>
      <c r="AB206" s="17">
        <v>590025</v>
      </c>
      <c r="AC206" s="17">
        <v>590760</v>
      </c>
      <c r="AD206" s="17">
        <v>578920</v>
      </c>
      <c r="AE206" s="17"/>
    </row>
    <row r="207" spans="1:31" x14ac:dyDescent="0.2">
      <c r="A207" s="16" t="s">
        <v>95</v>
      </c>
      <c r="B207" s="16" t="s">
        <v>96</v>
      </c>
      <c r="C207" s="17">
        <f t="shared" si="211"/>
        <v>0</v>
      </c>
      <c r="D207" s="17">
        <f t="shared" si="212"/>
        <v>0</v>
      </c>
      <c r="E207" s="17">
        <f t="shared" si="213"/>
        <v>0</v>
      </c>
      <c r="F207" s="17">
        <f t="shared" si="214"/>
        <v>-15714</v>
      </c>
      <c r="G207" s="17">
        <f t="shared" si="215"/>
        <v>-2807</v>
      </c>
      <c r="H207" s="17">
        <f t="shared" si="216"/>
        <v>-5634</v>
      </c>
      <c r="I207" s="17">
        <f t="shared" si="217"/>
        <v>-2233</v>
      </c>
      <c r="J207" s="17">
        <f t="shared" si="218"/>
        <v>0</v>
      </c>
      <c r="K207" s="17">
        <f t="shared" si="219"/>
        <v>-412</v>
      </c>
      <c r="L207" s="17">
        <f t="shared" si="220"/>
        <v>-8312</v>
      </c>
      <c r="M207" s="17">
        <f t="shared" si="221"/>
        <v>-6618</v>
      </c>
      <c r="N207" s="17">
        <f t="shared" si="222"/>
        <v>-81868</v>
      </c>
      <c r="O207" s="17">
        <f t="shared" si="223"/>
        <v>-123598</v>
      </c>
      <c r="S207" s="17"/>
      <c r="T207" s="17"/>
      <c r="U207" s="17"/>
      <c r="V207" s="17">
        <v>-15714</v>
      </c>
      <c r="W207" s="17">
        <v>-18521</v>
      </c>
      <c r="X207" s="17">
        <v>-24155</v>
      </c>
      <c r="Y207" s="17">
        <v>-26388</v>
      </c>
      <c r="Z207" s="17">
        <v>-26388</v>
      </c>
      <c r="AA207" s="17">
        <v>-26800</v>
      </c>
      <c r="AB207" s="17">
        <v>-35112</v>
      </c>
      <c r="AC207" s="17">
        <v>-41730</v>
      </c>
      <c r="AD207" s="17">
        <v>-123598</v>
      </c>
      <c r="AE207" s="17"/>
    </row>
    <row r="208" spans="1:31" x14ac:dyDescent="0.2">
      <c r="A208" s="16" t="s">
        <v>97</v>
      </c>
      <c r="B208" s="16" t="s">
        <v>98</v>
      </c>
      <c r="C208" s="17">
        <f t="shared" si="211"/>
        <v>0</v>
      </c>
      <c r="D208" s="17">
        <f t="shared" si="212"/>
        <v>0</v>
      </c>
      <c r="E208" s="17">
        <f t="shared" si="213"/>
        <v>100500</v>
      </c>
      <c r="F208" s="17">
        <f t="shared" si="214"/>
        <v>0</v>
      </c>
      <c r="G208" s="17">
        <f t="shared" si="215"/>
        <v>133006</v>
      </c>
      <c r="H208" s="17">
        <f t="shared" si="216"/>
        <v>0</v>
      </c>
      <c r="I208" s="17">
        <f t="shared" si="217"/>
        <v>0</v>
      </c>
      <c r="J208" s="17">
        <f t="shared" si="218"/>
        <v>0</v>
      </c>
      <c r="K208" s="17">
        <f t="shared" si="219"/>
        <v>0</v>
      </c>
      <c r="L208" s="17">
        <f t="shared" si="220"/>
        <v>0</v>
      </c>
      <c r="M208" s="17">
        <f t="shared" si="221"/>
        <v>0</v>
      </c>
      <c r="N208" s="17">
        <f t="shared" si="222"/>
        <v>0</v>
      </c>
      <c r="O208" s="17">
        <f t="shared" si="223"/>
        <v>233506</v>
      </c>
      <c r="S208" s="17"/>
      <c r="T208" s="17"/>
      <c r="U208" s="17">
        <v>100500</v>
      </c>
      <c r="V208" s="17">
        <v>100500</v>
      </c>
      <c r="W208" s="17">
        <v>233506</v>
      </c>
      <c r="X208" s="17">
        <v>233506</v>
      </c>
      <c r="Y208" s="17">
        <v>233506</v>
      </c>
      <c r="Z208" s="17">
        <v>233506</v>
      </c>
      <c r="AA208" s="17">
        <v>233506</v>
      </c>
      <c r="AB208" s="17">
        <v>233506</v>
      </c>
      <c r="AC208" s="17">
        <v>233506</v>
      </c>
      <c r="AD208" s="17">
        <v>233506</v>
      </c>
      <c r="AE208" s="17"/>
    </row>
    <row r="209" spans="1:31" x14ac:dyDescent="0.2">
      <c r="A209" s="16" t="s">
        <v>133</v>
      </c>
      <c r="B209" s="16" t="s">
        <v>132</v>
      </c>
      <c r="C209" s="17">
        <f t="shared" si="211"/>
        <v>0</v>
      </c>
      <c r="D209" s="17">
        <f t="shared" si="212"/>
        <v>0</v>
      </c>
      <c r="E209" s="17">
        <f t="shared" si="213"/>
        <v>0</v>
      </c>
      <c r="F209" s="17">
        <f t="shared" si="214"/>
        <v>0</v>
      </c>
      <c r="G209" s="17">
        <f t="shared" si="215"/>
        <v>0</v>
      </c>
      <c r="H209" s="17">
        <f t="shared" si="216"/>
        <v>0</v>
      </c>
      <c r="I209" s="17">
        <f t="shared" si="217"/>
        <v>0</v>
      </c>
      <c r="J209" s="17">
        <f t="shared" si="218"/>
        <v>0</v>
      </c>
      <c r="K209" s="17">
        <f t="shared" si="219"/>
        <v>0</v>
      </c>
      <c r="L209" s="17">
        <f t="shared" si="220"/>
        <v>0</v>
      </c>
      <c r="M209" s="17">
        <f t="shared" si="221"/>
        <v>0</v>
      </c>
      <c r="N209" s="17">
        <f t="shared" si="222"/>
        <v>-94471</v>
      </c>
      <c r="O209" s="17">
        <f t="shared" si="223"/>
        <v>-94471</v>
      </c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>
        <v>-94471</v>
      </c>
      <c r="AE209" s="17"/>
    </row>
    <row r="210" spans="1:31" x14ac:dyDescent="0.2">
      <c r="A210" s="16" t="s">
        <v>99</v>
      </c>
      <c r="B210" s="16" t="s">
        <v>100</v>
      </c>
      <c r="C210" s="17">
        <f t="shared" si="211"/>
        <v>0</v>
      </c>
      <c r="D210" s="17">
        <f t="shared" si="212"/>
        <v>0</v>
      </c>
      <c r="E210" s="17">
        <f t="shared" si="213"/>
        <v>0</v>
      </c>
      <c r="F210" s="17">
        <f t="shared" si="214"/>
        <v>0</v>
      </c>
      <c r="G210" s="17">
        <f t="shared" si="215"/>
        <v>0</v>
      </c>
      <c r="H210" s="17">
        <f t="shared" si="216"/>
        <v>0</v>
      </c>
      <c r="I210" s="17">
        <f t="shared" si="217"/>
        <v>0</v>
      </c>
      <c r="J210" s="17">
        <f t="shared" si="218"/>
        <v>0</v>
      </c>
      <c r="K210" s="17">
        <f t="shared" si="219"/>
        <v>0</v>
      </c>
      <c r="L210" s="17">
        <f t="shared" si="220"/>
        <v>0</v>
      </c>
      <c r="M210" s="17">
        <f t="shared" si="221"/>
        <v>0</v>
      </c>
      <c r="N210" s="17">
        <f t="shared" si="222"/>
        <v>-50047</v>
      </c>
      <c r="O210" s="17">
        <f t="shared" si="223"/>
        <v>-50047</v>
      </c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>
        <v>-50047</v>
      </c>
      <c r="AE210" s="17"/>
    </row>
    <row r="211" spans="1:31" x14ac:dyDescent="0.2">
      <c r="A211" s="16" t="s">
        <v>101</v>
      </c>
      <c r="B211" s="16" t="s">
        <v>102</v>
      </c>
      <c r="C211" s="17">
        <f t="shared" si="211"/>
        <v>29204</v>
      </c>
      <c r="D211" s="17">
        <f t="shared" si="212"/>
        <v>26261</v>
      </c>
      <c r="E211" s="17">
        <f t="shared" si="213"/>
        <v>-5682</v>
      </c>
      <c r="F211" s="17">
        <f t="shared" si="214"/>
        <v>24244</v>
      </c>
      <c r="G211" s="17">
        <f t="shared" si="215"/>
        <v>24524</v>
      </c>
      <c r="H211" s="17">
        <f t="shared" si="216"/>
        <v>24230</v>
      </c>
      <c r="I211" s="17">
        <f t="shared" si="217"/>
        <v>25093</v>
      </c>
      <c r="J211" s="17">
        <f t="shared" si="218"/>
        <v>29209</v>
      </c>
      <c r="K211" s="17">
        <f t="shared" si="219"/>
        <v>23277</v>
      </c>
      <c r="L211" s="17">
        <f t="shared" si="220"/>
        <v>20827</v>
      </c>
      <c r="M211" s="17">
        <f t="shared" si="221"/>
        <v>26241</v>
      </c>
      <c r="N211" s="17">
        <f t="shared" si="222"/>
        <v>-130060</v>
      </c>
      <c r="O211" s="17">
        <f t="shared" si="223"/>
        <v>117368</v>
      </c>
      <c r="S211" s="17">
        <v>29204</v>
      </c>
      <c r="T211" s="17">
        <v>55465</v>
      </c>
      <c r="U211" s="17">
        <v>49783</v>
      </c>
      <c r="V211" s="17">
        <v>74027</v>
      </c>
      <c r="W211" s="17">
        <v>98551</v>
      </c>
      <c r="X211" s="17">
        <v>122781</v>
      </c>
      <c r="Y211" s="17">
        <v>147874</v>
      </c>
      <c r="Z211" s="17">
        <v>177083</v>
      </c>
      <c r="AA211" s="17">
        <v>200360</v>
      </c>
      <c r="AB211" s="17">
        <v>221187</v>
      </c>
      <c r="AC211" s="17">
        <v>247428</v>
      </c>
      <c r="AD211" s="17">
        <v>117368</v>
      </c>
      <c r="AE211" s="17"/>
    </row>
    <row r="212" spans="1:31" x14ac:dyDescent="0.2">
      <c r="B212" s="16" t="s">
        <v>207</v>
      </c>
      <c r="C212" s="17">
        <f t="shared" si="211"/>
        <v>0</v>
      </c>
      <c r="D212" s="17">
        <f t="shared" si="212"/>
        <v>0</v>
      </c>
      <c r="E212" s="17">
        <f t="shared" si="213"/>
        <v>0</v>
      </c>
      <c r="F212" s="17">
        <f t="shared" si="214"/>
        <v>0</v>
      </c>
      <c r="G212" s="17">
        <f t="shared" si="215"/>
        <v>0</v>
      </c>
      <c r="H212" s="17">
        <f t="shared" si="216"/>
        <v>0</v>
      </c>
      <c r="I212" s="17">
        <f t="shared" si="217"/>
        <v>0</v>
      </c>
      <c r="J212" s="17">
        <f t="shared" si="218"/>
        <v>0</v>
      </c>
      <c r="K212" s="17">
        <f t="shared" si="219"/>
        <v>0</v>
      </c>
      <c r="L212" s="17">
        <f t="shared" si="220"/>
        <v>0</v>
      </c>
      <c r="M212" s="17">
        <f t="shared" si="221"/>
        <v>0</v>
      </c>
      <c r="N212" s="17">
        <f t="shared" si="222"/>
        <v>0</v>
      </c>
      <c r="O212" s="17">
        <f t="shared" si="223"/>
        <v>0</v>
      </c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</row>
    <row r="213" spans="1:31" x14ac:dyDescent="0.2">
      <c r="B213" s="112" t="s">
        <v>211</v>
      </c>
      <c r="C213" s="17">
        <f t="shared" si="211"/>
        <v>1389816</v>
      </c>
      <c r="D213" s="17">
        <f t="shared" si="212"/>
        <v>2301160</v>
      </c>
      <c r="E213" s="17">
        <f t="shared" si="213"/>
        <v>1455331</v>
      </c>
      <c r="F213" s="17">
        <f t="shared" si="214"/>
        <v>1567974</v>
      </c>
      <c r="G213" s="17">
        <f t="shared" si="215"/>
        <v>1490535</v>
      </c>
      <c r="H213" s="17">
        <f t="shared" si="216"/>
        <v>1325405</v>
      </c>
      <c r="I213" s="17">
        <f t="shared" si="217"/>
        <v>831539</v>
      </c>
      <c r="J213" s="17">
        <f t="shared" si="218"/>
        <v>1381665</v>
      </c>
      <c r="K213" s="17">
        <f t="shared" si="219"/>
        <v>2207280</v>
      </c>
      <c r="L213" s="17">
        <f t="shared" si="220"/>
        <v>1346340</v>
      </c>
      <c r="M213" s="17">
        <f t="shared" si="221"/>
        <v>1853592</v>
      </c>
      <c r="N213" s="17">
        <f t="shared" si="222"/>
        <v>653261</v>
      </c>
      <c r="O213" s="17">
        <f t="shared" si="223"/>
        <v>17803898</v>
      </c>
      <c r="S213" s="17">
        <v>1389816</v>
      </c>
      <c r="T213" s="17">
        <v>3690976</v>
      </c>
      <c r="U213" s="17">
        <v>5146307</v>
      </c>
      <c r="V213" s="17">
        <v>6714281</v>
      </c>
      <c r="W213" s="17">
        <v>8204816</v>
      </c>
      <c r="X213" s="17">
        <v>9530221</v>
      </c>
      <c r="Y213" s="17">
        <v>10361760</v>
      </c>
      <c r="Z213" s="17">
        <v>11743425</v>
      </c>
      <c r="AA213" s="17">
        <v>13950705</v>
      </c>
      <c r="AB213" s="17">
        <v>15297045</v>
      </c>
      <c r="AC213" s="17">
        <v>17150637</v>
      </c>
      <c r="AD213" s="17">
        <v>17803898</v>
      </c>
      <c r="AE213" s="17"/>
    </row>
    <row r="214" spans="1:31" ht="13.5" thickBot="1" x14ac:dyDescent="0.25">
      <c r="C214" s="19">
        <f t="shared" ref="C214:O214" si="224">SUM(C184:C213)</f>
        <v>-4491764</v>
      </c>
      <c r="D214" s="19">
        <f t="shared" si="224"/>
        <v>745012</v>
      </c>
      <c r="E214" s="19">
        <f t="shared" si="224"/>
        <v>4816967</v>
      </c>
      <c r="F214" s="19">
        <f t="shared" si="224"/>
        <v>5556702</v>
      </c>
      <c r="G214" s="19">
        <f t="shared" si="224"/>
        <v>1381905</v>
      </c>
      <c r="H214" s="19">
        <f t="shared" si="224"/>
        <v>903115</v>
      </c>
      <c r="I214" s="19">
        <f t="shared" si="224"/>
        <v>1166857</v>
      </c>
      <c r="J214" s="19">
        <f t="shared" si="224"/>
        <v>593104</v>
      </c>
      <c r="K214" s="19">
        <f t="shared" si="224"/>
        <v>1220541</v>
      </c>
      <c r="L214" s="19">
        <f t="shared" si="224"/>
        <v>587470</v>
      </c>
      <c r="M214" s="19">
        <f t="shared" si="224"/>
        <v>60433</v>
      </c>
      <c r="N214" s="19">
        <f t="shared" si="224"/>
        <v>2009717</v>
      </c>
      <c r="O214" s="19">
        <f t="shared" si="224"/>
        <v>14550059</v>
      </c>
      <c r="S214" s="19">
        <f t="shared" ref="S214:AD214" si="225">SUM(S184:S213)</f>
        <v>-4491764</v>
      </c>
      <c r="T214" s="19">
        <f t="shared" si="225"/>
        <v>-3746752</v>
      </c>
      <c r="U214" s="19">
        <f t="shared" si="225"/>
        <v>1070215</v>
      </c>
      <c r="V214" s="19">
        <f t="shared" si="225"/>
        <v>6626917</v>
      </c>
      <c r="W214" s="19">
        <f t="shared" si="225"/>
        <v>8008822</v>
      </c>
      <c r="X214" s="19">
        <f t="shared" si="225"/>
        <v>8911937</v>
      </c>
      <c r="Y214" s="19">
        <f t="shared" si="225"/>
        <v>10078794</v>
      </c>
      <c r="Z214" s="19">
        <f t="shared" si="225"/>
        <v>10671898</v>
      </c>
      <c r="AA214" s="19">
        <f t="shared" si="225"/>
        <v>11892439</v>
      </c>
      <c r="AB214" s="19">
        <f t="shared" si="225"/>
        <v>12479909</v>
      </c>
      <c r="AC214" s="19">
        <f t="shared" si="225"/>
        <v>12540342</v>
      </c>
      <c r="AD214" s="19">
        <f t="shared" si="225"/>
        <v>14550059</v>
      </c>
      <c r="AE214" s="17"/>
    </row>
    <row r="215" spans="1:31" ht="13.5" thickTop="1" x14ac:dyDescent="0.2">
      <c r="B215" t="s">
        <v>173</v>
      </c>
      <c r="C215" s="17">
        <f>C214</f>
        <v>-4491764</v>
      </c>
      <c r="D215" s="17">
        <f t="shared" ref="D215:N215" si="226">D214</f>
        <v>745012</v>
      </c>
      <c r="E215" s="17">
        <f t="shared" si="226"/>
        <v>4816967</v>
      </c>
      <c r="F215" s="17">
        <f t="shared" si="226"/>
        <v>5556702</v>
      </c>
      <c r="G215" s="17">
        <f t="shared" si="226"/>
        <v>1381905</v>
      </c>
      <c r="H215" s="17">
        <f t="shared" si="226"/>
        <v>903115</v>
      </c>
      <c r="I215" s="17">
        <f t="shared" si="226"/>
        <v>1166857</v>
      </c>
      <c r="J215" s="17">
        <f t="shared" si="226"/>
        <v>593104</v>
      </c>
      <c r="K215" s="17">
        <f t="shared" si="226"/>
        <v>1220541</v>
      </c>
      <c r="L215" s="17">
        <f t="shared" si="226"/>
        <v>587470</v>
      </c>
      <c r="M215" s="17">
        <f t="shared" si="226"/>
        <v>60433</v>
      </c>
      <c r="N215" s="17">
        <f t="shared" si="226"/>
        <v>2009717</v>
      </c>
      <c r="O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</row>
    <row r="216" spans="1:31" x14ac:dyDescent="0.2">
      <c r="B216" t="s">
        <v>104</v>
      </c>
      <c r="C216" s="17">
        <f t="shared" ref="C216" si="227">S216</f>
        <v>-4491765</v>
      </c>
      <c r="D216" s="17">
        <f t="shared" ref="D216" si="228">T216</f>
        <v>-3746754</v>
      </c>
      <c r="E216" s="17">
        <f t="shared" ref="E216" si="229">U216</f>
        <v>1070214</v>
      </c>
      <c r="F216" s="17">
        <f t="shared" ref="F216" si="230">V216</f>
        <v>6626917</v>
      </c>
      <c r="G216" s="17">
        <f t="shared" ref="G216" si="231">W216</f>
        <v>8008821</v>
      </c>
      <c r="H216" s="17">
        <f t="shared" ref="H216" si="232">X216</f>
        <v>8911938</v>
      </c>
      <c r="I216" s="17">
        <f t="shared" ref="I216" si="233">Y216</f>
        <v>10078794</v>
      </c>
      <c r="J216" s="17">
        <f t="shared" ref="J216" si="234">Z216</f>
        <v>10671897</v>
      </c>
      <c r="K216" s="17">
        <f t="shared" ref="K216" si="235">AA216</f>
        <v>11892440</v>
      </c>
      <c r="L216" s="17">
        <f t="shared" ref="L216" si="236">AB216</f>
        <v>12479907</v>
      </c>
      <c r="M216" s="17">
        <f t="shared" ref="M216" si="237">AC216</f>
        <v>12540341</v>
      </c>
      <c r="N216" s="17">
        <f t="shared" ref="N216" si="238">AD216</f>
        <v>14550060</v>
      </c>
      <c r="S216" s="17">
        <v>-4491765</v>
      </c>
      <c r="T216" s="17">
        <v>-3746754</v>
      </c>
      <c r="U216" s="17">
        <v>1070214</v>
      </c>
      <c r="V216" s="17">
        <v>6626917</v>
      </c>
      <c r="W216" s="17">
        <v>8008821</v>
      </c>
      <c r="X216" s="17">
        <v>8911938</v>
      </c>
      <c r="Y216" s="17">
        <v>10078794</v>
      </c>
      <c r="Z216" s="17">
        <v>10671897</v>
      </c>
      <c r="AA216" s="17">
        <v>11892440</v>
      </c>
      <c r="AB216" s="17">
        <v>12479907</v>
      </c>
      <c r="AC216" s="17">
        <v>12540341</v>
      </c>
      <c r="AD216" s="17">
        <v>14550060</v>
      </c>
      <c r="AE216" s="17"/>
    </row>
    <row r="217" spans="1:31" x14ac:dyDescent="0.2">
      <c r="B217" t="s">
        <v>105</v>
      </c>
      <c r="C217" s="17">
        <f>C216-C215</f>
        <v>-1</v>
      </c>
      <c r="D217" s="17">
        <f t="shared" ref="D217:N217" si="239">D216-D215</f>
        <v>-4491766</v>
      </c>
      <c r="E217" s="17">
        <f t="shared" si="239"/>
        <v>-3746753</v>
      </c>
      <c r="F217" s="17">
        <f t="shared" si="239"/>
        <v>1070215</v>
      </c>
      <c r="G217" s="17">
        <f t="shared" si="239"/>
        <v>6626916</v>
      </c>
      <c r="H217" s="17">
        <f t="shared" si="239"/>
        <v>8008823</v>
      </c>
      <c r="I217" s="17">
        <f t="shared" si="239"/>
        <v>8911937</v>
      </c>
      <c r="J217" s="17">
        <f t="shared" si="239"/>
        <v>10078793</v>
      </c>
      <c r="K217" s="17">
        <f t="shared" si="239"/>
        <v>10671899</v>
      </c>
      <c r="L217" s="17">
        <f t="shared" si="239"/>
        <v>11892437</v>
      </c>
      <c r="M217" s="17">
        <f t="shared" si="239"/>
        <v>12479908</v>
      </c>
      <c r="N217" s="17">
        <f t="shared" si="239"/>
        <v>12540343</v>
      </c>
      <c r="S217" s="17">
        <f>S216-S214</f>
        <v>-1</v>
      </c>
      <c r="T217" s="17">
        <f t="shared" ref="T217:AD217" si="240">T216-T214</f>
        <v>-2</v>
      </c>
      <c r="U217" s="17">
        <f t="shared" si="240"/>
        <v>-1</v>
      </c>
      <c r="V217" s="17">
        <f t="shared" si="240"/>
        <v>0</v>
      </c>
      <c r="W217" s="17">
        <f t="shared" si="240"/>
        <v>-1</v>
      </c>
      <c r="X217" s="17">
        <f t="shared" si="240"/>
        <v>1</v>
      </c>
      <c r="Y217" s="17">
        <f t="shared" si="240"/>
        <v>0</v>
      </c>
      <c r="Z217" s="17">
        <f t="shared" si="240"/>
        <v>-1</v>
      </c>
      <c r="AA217" s="17">
        <f t="shared" si="240"/>
        <v>1</v>
      </c>
      <c r="AB217" s="17">
        <f t="shared" si="240"/>
        <v>-2</v>
      </c>
      <c r="AC217" s="17">
        <f t="shared" si="240"/>
        <v>-1</v>
      </c>
      <c r="AD217" s="17">
        <f t="shared" si="240"/>
        <v>1</v>
      </c>
      <c r="AE217" s="17"/>
    </row>
    <row r="218" spans="1:31" x14ac:dyDescent="0.2"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</row>
    <row r="219" spans="1:31" x14ac:dyDescent="0.2">
      <c r="B219" t="s">
        <v>50</v>
      </c>
      <c r="C219" s="17">
        <f t="shared" ref="C219:C220" si="241">S219</f>
        <v>113912</v>
      </c>
      <c r="D219" s="17">
        <f t="shared" ref="D219:D220" si="242">T219-S219</f>
        <v>592857</v>
      </c>
      <c r="E219" s="17">
        <f t="shared" ref="E219:E220" si="243">U219-T219</f>
        <v>1123003</v>
      </c>
      <c r="F219" s="17">
        <f t="shared" ref="F219:F220" si="244">V219-U219</f>
        <v>1047958</v>
      </c>
      <c r="G219" s="17">
        <f t="shared" ref="G219:G220" si="245">W219-V219</f>
        <v>878970</v>
      </c>
      <c r="H219" s="17">
        <f t="shared" ref="H219:H220" si="246">X219-W219</f>
        <v>738558</v>
      </c>
      <c r="I219" s="17">
        <f t="shared" ref="I219:I220" si="247">Y219-X219</f>
        <v>1879564</v>
      </c>
      <c r="J219" s="17">
        <f t="shared" ref="J219:J220" si="248">Z219-Y219</f>
        <v>467516</v>
      </c>
      <c r="K219" s="17">
        <f t="shared" ref="K219:K220" si="249">AA219-Z219</f>
        <v>1004592</v>
      </c>
      <c r="L219" s="17">
        <f t="shared" ref="L219:L220" si="250">AB219-AA219</f>
        <v>1788938</v>
      </c>
      <c r="M219" s="17">
        <f t="shared" ref="M219:M220" si="251">AC219-AB219</f>
        <v>1583919</v>
      </c>
      <c r="N219" s="17">
        <f t="shared" ref="N219:N220" si="252">AD219-AC219</f>
        <v>5192571</v>
      </c>
      <c r="O219" s="17">
        <f>SUM(C219:N219)</f>
        <v>16412358</v>
      </c>
      <c r="S219" s="17">
        <v>113912</v>
      </c>
      <c r="T219" s="17">
        <v>706769</v>
      </c>
      <c r="U219" s="17">
        <v>1829772</v>
      </c>
      <c r="V219" s="17">
        <v>2877730</v>
      </c>
      <c r="W219" s="17">
        <v>3756700</v>
      </c>
      <c r="X219" s="17">
        <v>4495258</v>
      </c>
      <c r="Y219" s="17">
        <v>6374822</v>
      </c>
      <c r="Z219" s="17">
        <v>6842338</v>
      </c>
      <c r="AA219" s="17">
        <v>7846930</v>
      </c>
      <c r="AB219" s="17">
        <v>9635868</v>
      </c>
      <c r="AC219" s="17">
        <v>11219787</v>
      </c>
      <c r="AD219" s="17">
        <v>16412358</v>
      </c>
      <c r="AE219" s="17"/>
    </row>
    <row r="220" spans="1:31" x14ac:dyDescent="0.2">
      <c r="B220" t="s">
        <v>210</v>
      </c>
      <c r="C220" s="17">
        <f t="shared" si="241"/>
        <v>2635231</v>
      </c>
      <c r="D220" s="17">
        <f t="shared" si="242"/>
        <v>3631987</v>
      </c>
      <c r="E220" s="17">
        <f t="shared" si="243"/>
        <v>2921261</v>
      </c>
      <c r="F220" s="17">
        <f t="shared" si="244"/>
        <v>4306342</v>
      </c>
      <c r="G220" s="17">
        <f t="shared" si="245"/>
        <v>2711428</v>
      </c>
      <c r="H220" s="17">
        <f t="shared" si="246"/>
        <v>2895366</v>
      </c>
      <c r="I220" s="17">
        <f t="shared" si="247"/>
        <v>2754724</v>
      </c>
      <c r="J220" s="17">
        <f t="shared" si="248"/>
        <v>3300794</v>
      </c>
      <c r="K220" s="17">
        <f t="shared" si="249"/>
        <v>4105027</v>
      </c>
      <c r="L220" s="17">
        <f t="shared" si="250"/>
        <v>1852777</v>
      </c>
      <c r="M220" s="17">
        <f t="shared" si="251"/>
        <v>2453168</v>
      </c>
      <c r="N220" s="17">
        <f t="shared" si="252"/>
        <v>7188216</v>
      </c>
      <c r="O220" s="17">
        <f>SUM(C220:N220)</f>
        <v>40756321</v>
      </c>
      <c r="S220" s="17">
        <v>2635231</v>
      </c>
      <c r="T220" s="17">
        <v>6267218</v>
      </c>
      <c r="U220" s="17">
        <v>9188479</v>
      </c>
      <c r="V220" s="17">
        <v>13494821</v>
      </c>
      <c r="W220" s="17">
        <v>16206249</v>
      </c>
      <c r="X220" s="17">
        <v>19101615</v>
      </c>
      <c r="Y220" s="17">
        <v>21856339</v>
      </c>
      <c r="Z220" s="17">
        <v>25157133</v>
      </c>
      <c r="AA220" s="17">
        <v>29262160</v>
      </c>
      <c r="AB220" s="17">
        <v>31114937</v>
      </c>
      <c r="AC220" s="17">
        <v>33568105</v>
      </c>
      <c r="AD220" s="17">
        <v>40756321</v>
      </c>
      <c r="AE220" s="17"/>
    </row>
    <row r="221" spans="1:31" x14ac:dyDescent="0.2"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</row>
  </sheetData>
  <pageMargins left="0" right="0" top="0" bottom="0" header="0.5" footer="0.5"/>
  <pageSetup paperSize="5" scale="42" fitToHeight="2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329"/>
  <sheetViews>
    <sheetView workbookViewId="0">
      <pane xSplit="2" ySplit="2" topLeftCell="C139" activePane="bottomRight" state="frozen"/>
      <selection pane="topRight" activeCell="C1" sqref="C1"/>
      <selection pane="bottomLeft" activeCell="A3" sqref="A3"/>
      <selection pane="bottomRight" activeCell="I177" sqref="I177"/>
    </sheetView>
  </sheetViews>
  <sheetFormatPr defaultRowHeight="12.75" x14ac:dyDescent="0.2"/>
  <cols>
    <col min="1" max="1" width="6" style="16" bestFit="1" customWidth="1"/>
    <col min="2" max="2" width="37.5703125" customWidth="1"/>
    <col min="3" max="3" width="12.42578125" bestFit="1" customWidth="1"/>
    <col min="4" max="5" width="12.28515625" bestFit="1" customWidth="1"/>
    <col min="6" max="6" width="12.42578125" bestFit="1" customWidth="1"/>
    <col min="7" max="8" width="12.85546875" customWidth="1"/>
    <col min="9" max="10" width="12.28515625" customWidth="1"/>
    <col min="11" max="11" width="13" customWidth="1"/>
    <col min="12" max="14" width="12.28515625" customWidth="1"/>
    <col min="15" max="15" width="14" bestFit="1" customWidth="1"/>
    <col min="16" max="16" width="12.42578125" style="17" bestFit="1" customWidth="1"/>
    <col min="17" max="17" width="14.7109375" style="17" bestFit="1" customWidth="1"/>
    <col min="18" max="18" width="11.7109375" style="17" bestFit="1" customWidth="1"/>
  </cols>
  <sheetData>
    <row r="1" spans="1:22" x14ac:dyDescent="0.2">
      <c r="B1" s="22" t="s">
        <v>203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>
        <f>SUM(C1:N1)</f>
        <v>0</v>
      </c>
    </row>
    <row r="2" spans="1:22" x14ac:dyDescent="0.2">
      <c r="B2" s="24" t="s">
        <v>223</v>
      </c>
      <c r="C2" s="30" t="s">
        <v>17</v>
      </c>
      <c r="D2" s="30" t="s">
        <v>20</v>
      </c>
      <c r="E2" s="30" t="s">
        <v>21</v>
      </c>
      <c r="F2" s="30" t="s">
        <v>22</v>
      </c>
      <c r="G2" s="30" t="s">
        <v>23</v>
      </c>
      <c r="H2" s="30" t="s">
        <v>24</v>
      </c>
      <c r="I2" s="30" t="s">
        <v>25</v>
      </c>
      <c r="J2" s="30" t="s">
        <v>26</v>
      </c>
      <c r="K2" s="30" t="s">
        <v>27</v>
      </c>
      <c r="L2" s="30" t="s">
        <v>28</v>
      </c>
      <c r="M2" s="30" t="s">
        <v>18</v>
      </c>
      <c r="N2" s="30" t="s">
        <v>29</v>
      </c>
      <c r="O2" s="30" t="s">
        <v>103</v>
      </c>
      <c r="P2" s="31"/>
      <c r="Q2" s="31"/>
      <c r="R2" s="31"/>
      <c r="S2" s="30"/>
      <c r="T2" s="30"/>
      <c r="U2" s="30"/>
      <c r="V2" s="30"/>
    </row>
    <row r="3" spans="1:22" x14ac:dyDescent="0.2">
      <c r="A3" s="16" t="s">
        <v>33</v>
      </c>
      <c r="B3" s="16" t="s">
        <v>34</v>
      </c>
      <c r="C3" s="20">
        <f>C135+C185+C235</f>
        <v>57581224</v>
      </c>
      <c r="D3" s="20">
        <f t="shared" ref="D3:N3" si="0">D135+D185+D235</f>
        <v>93243017</v>
      </c>
      <c r="E3" s="20">
        <f t="shared" si="0"/>
        <v>60489493</v>
      </c>
      <c r="F3" s="20">
        <f t="shared" si="0"/>
        <v>64423898</v>
      </c>
      <c r="G3" s="20">
        <f t="shared" si="0"/>
        <v>62051540</v>
      </c>
      <c r="H3" s="20">
        <f t="shared" si="0"/>
        <v>57107527</v>
      </c>
      <c r="I3" s="20">
        <f t="shared" si="0"/>
        <v>66185756</v>
      </c>
      <c r="J3" s="20">
        <f t="shared" si="0"/>
        <v>43297170</v>
      </c>
      <c r="K3" s="20">
        <f t="shared" si="0"/>
        <v>55716345</v>
      </c>
      <c r="L3" s="20">
        <f t="shared" si="0"/>
        <v>38611135</v>
      </c>
      <c r="M3" s="20">
        <f t="shared" si="0"/>
        <v>43774454</v>
      </c>
      <c r="N3" s="20">
        <f t="shared" si="0"/>
        <v>40591008</v>
      </c>
      <c r="O3" s="20">
        <f>SUM(C3:N3)</f>
        <v>683072567</v>
      </c>
      <c r="P3" s="13">
        <f>O3/O$124</f>
        <v>0.98678032954597583</v>
      </c>
    </row>
    <row r="4" spans="1:22" x14ac:dyDescent="0.2">
      <c r="B4" s="16"/>
      <c r="C4" s="9">
        <f t="shared" ref="C4:N4" si="1">C3/$O3</f>
        <v>8.4297374513065459E-2</v>
      </c>
      <c r="D4" s="9">
        <f t="shared" si="1"/>
        <v>0.1365052872925579</v>
      </c>
      <c r="E4" s="9">
        <f t="shared" si="1"/>
        <v>8.8555002678068317E-2</v>
      </c>
      <c r="F4" s="9">
        <f t="shared" si="1"/>
        <v>9.431486654916417E-2</v>
      </c>
      <c r="G4" s="9">
        <f t="shared" si="1"/>
        <v>9.0841797779298017E-2</v>
      </c>
      <c r="H4" s="9">
        <f t="shared" si="1"/>
        <v>8.3603894752810354E-2</v>
      </c>
      <c r="I4" s="9">
        <f t="shared" si="1"/>
        <v>9.6894179619425411E-2</v>
      </c>
      <c r="J4" s="9">
        <f t="shared" si="1"/>
        <v>6.338590084236248E-2</v>
      </c>
      <c r="K4" s="9">
        <f t="shared" si="1"/>
        <v>8.1567241449472527E-2</v>
      </c>
      <c r="L4" s="9">
        <f t="shared" si="1"/>
        <v>5.652567071984315E-2</v>
      </c>
      <c r="M4" s="9">
        <f t="shared" si="1"/>
        <v>6.4084631874844422E-2</v>
      </c>
      <c r="N4" s="9">
        <f t="shared" si="1"/>
        <v>5.9424151929087794E-2</v>
      </c>
      <c r="O4" s="20"/>
    </row>
    <row r="5" spans="1:22" x14ac:dyDescent="0.2">
      <c r="B5" s="16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22" x14ac:dyDescent="0.2">
      <c r="A6" s="16" t="s">
        <v>35</v>
      </c>
      <c r="B6" s="16" t="s">
        <v>36</v>
      </c>
      <c r="C6" s="20">
        <f>C136+C186+C236</f>
        <v>86208</v>
      </c>
      <c r="D6" s="20">
        <f t="shared" ref="D6:N6" si="2">D136+D186+D236</f>
        <v>64953</v>
      </c>
      <c r="E6" s="20">
        <f t="shared" si="2"/>
        <v>172431</v>
      </c>
      <c r="F6" s="20">
        <f t="shared" si="2"/>
        <v>276069</v>
      </c>
      <c r="G6" s="20">
        <f t="shared" si="2"/>
        <v>216243</v>
      </c>
      <c r="H6" s="20">
        <f t="shared" si="2"/>
        <v>219932</v>
      </c>
      <c r="I6" s="20">
        <f t="shared" si="2"/>
        <v>172853</v>
      </c>
      <c r="J6" s="20">
        <f t="shared" si="2"/>
        <v>136030</v>
      </c>
      <c r="K6" s="20">
        <f t="shared" si="2"/>
        <v>104273</v>
      </c>
      <c r="L6" s="20">
        <f t="shared" si="2"/>
        <v>60116</v>
      </c>
      <c r="M6" s="20">
        <f t="shared" si="2"/>
        <v>138375</v>
      </c>
      <c r="N6" s="20">
        <f t="shared" si="2"/>
        <v>57679</v>
      </c>
      <c r="O6" s="20">
        <f>SUM(C6:N6)</f>
        <v>1705162</v>
      </c>
      <c r="P6" s="13">
        <f>O6/O$124</f>
        <v>2.4633112228166459E-3</v>
      </c>
    </row>
    <row r="7" spans="1:22" x14ac:dyDescent="0.2">
      <c r="B7" s="16"/>
      <c r="C7" s="9">
        <f t="shared" ref="C7:N7" si="3">C6/$O6</f>
        <v>5.0557073169587408E-2</v>
      </c>
      <c r="D7" s="9">
        <f t="shared" si="3"/>
        <v>3.8091981876208832E-2</v>
      </c>
      <c r="E7" s="9">
        <f t="shared" si="3"/>
        <v>0.10112294315730705</v>
      </c>
      <c r="F7" s="9">
        <f t="shared" si="3"/>
        <v>0.16190191899655282</v>
      </c>
      <c r="G7" s="9">
        <f t="shared" si="3"/>
        <v>0.12681668955794229</v>
      </c>
      <c r="H7" s="9">
        <f t="shared" si="3"/>
        <v>0.12898012036393022</v>
      </c>
      <c r="I7" s="9">
        <f t="shared" si="3"/>
        <v>0.10137042697409396</v>
      </c>
      <c r="J7" s="9">
        <f t="shared" si="3"/>
        <v>7.9775411368538593E-2</v>
      </c>
      <c r="K7" s="9">
        <f t="shared" si="3"/>
        <v>6.1151374473510434E-2</v>
      </c>
      <c r="L7" s="9">
        <f t="shared" si="3"/>
        <v>3.525530125583376E-2</v>
      </c>
      <c r="M7" s="9">
        <f t="shared" si="3"/>
        <v>8.1150647269878168E-2</v>
      </c>
      <c r="N7" s="9">
        <f t="shared" si="3"/>
        <v>3.3826111536616466E-2</v>
      </c>
      <c r="O7" s="20"/>
      <c r="P7" s="13"/>
    </row>
    <row r="8" spans="1:22" x14ac:dyDescent="0.2">
      <c r="B8" s="16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13"/>
    </row>
    <row r="9" spans="1:22" x14ac:dyDescent="0.2">
      <c r="A9" s="16" t="s">
        <v>37</v>
      </c>
      <c r="B9" s="16" t="s">
        <v>38</v>
      </c>
      <c r="C9" s="20">
        <f>C137+C187+C237</f>
        <v>0</v>
      </c>
      <c r="D9" s="20">
        <f t="shared" ref="D9:N9" si="4">D137+D187+D237</f>
        <v>0</v>
      </c>
      <c r="E9" s="20">
        <f t="shared" si="4"/>
        <v>0</v>
      </c>
      <c r="F9" s="20">
        <f t="shared" si="4"/>
        <v>0</v>
      </c>
      <c r="G9" s="20">
        <f t="shared" si="4"/>
        <v>0</v>
      </c>
      <c r="H9" s="20">
        <f t="shared" si="4"/>
        <v>0</v>
      </c>
      <c r="I9" s="20">
        <f t="shared" si="4"/>
        <v>0</v>
      </c>
      <c r="J9" s="20">
        <f t="shared" si="4"/>
        <v>0</v>
      </c>
      <c r="K9" s="20">
        <f t="shared" si="4"/>
        <v>0</v>
      </c>
      <c r="L9" s="20">
        <f t="shared" si="4"/>
        <v>0</v>
      </c>
      <c r="M9" s="20">
        <f t="shared" si="4"/>
        <v>0</v>
      </c>
      <c r="N9" s="20">
        <f t="shared" si="4"/>
        <v>0</v>
      </c>
      <c r="O9" s="20">
        <f>SUM(C9:N9)</f>
        <v>0</v>
      </c>
      <c r="P9" s="13">
        <f>O9/O$124</f>
        <v>0</v>
      </c>
    </row>
    <row r="10" spans="1:22" x14ac:dyDescent="0.2">
      <c r="B10" s="16"/>
      <c r="C10" s="9" t="e">
        <f t="shared" ref="C10:N10" si="5">C9/$O9</f>
        <v>#DIV/0!</v>
      </c>
      <c r="D10" s="9" t="e">
        <f t="shared" si="5"/>
        <v>#DIV/0!</v>
      </c>
      <c r="E10" s="9" t="e">
        <f t="shared" si="5"/>
        <v>#DIV/0!</v>
      </c>
      <c r="F10" s="9" t="e">
        <f t="shared" si="5"/>
        <v>#DIV/0!</v>
      </c>
      <c r="G10" s="9" t="e">
        <f t="shared" si="5"/>
        <v>#DIV/0!</v>
      </c>
      <c r="H10" s="9" t="e">
        <f t="shared" si="5"/>
        <v>#DIV/0!</v>
      </c>
      <c r="I10" s="9" t="e">
        <f t="shared" si="5"/>
        <v>#DIV/0!</v>
      </c>
      <c r="J10" s="9" t="e">
        <f t="shared" si="5"/>
        <v>#DIV/0!</v>
      </c>
      <c r="K10" s="9" t="e">
        <f t="shared" si="5"/>
        <v>#DIV/0!</v>
      </c>
      <c r="L10" s="9" t="e">
        <f t="shared" si="5"/>
        <v>#DIV/0!</v>
      </c>
      <c r="M10" s="9" t="e">
        <f t="shared" si="5"/>
        <v>#DIV/0!</v>
      </c>
      <c r="N10" s="9" t="e">
        <f t="shared" si="5"/>
        <v>#DIV/0!</v>
      </c>
      <c r="O10" s="20"/>
      <c r="P10" s="13"/>
    </row>
    <row r="11" spans="1:22" x14ac:dyDescent="0.2">
      <c r="B11" s="16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13"/>
    </row>
    <row r="12" spans="1:22" x14ac:dyDescent="0.2">
      <c r="A12" s="16" t="s">
        <v>39</v>
      </c>
      <c r="B12" s="16" t="s">
        <v>40</v>
      </c>
      <c r="C12" s="20">
        <f>C138+C188+C238</f>
        <v>557789</v>
      </c>
      <c r="D12" s="20">
        <f t="shared" ref="D12:N12" si="6">D138+D188+D238</f>
        <v>995925</v>
      </c>
      <c r="E12" s="20">
        <f t="shared" si="6"/>
        <v>738630</v>
      </c>
      <c r="F12" s="20">
        <f t="shared" si="6"/>
        <v>769706</v>
      </c>
      <c r="G12" s="20">
        <f t="shared" si="6"/>
        <v>715866</v>
      </c>
      <c r="H12" s="20">
        <f t="shared" si="6"/>
        <v>657539</v>
      </c>
      <c r="I12" s="20">
        <f t="shared" si="6"/>
        <v>689778</v>
      </c>
      <c r="J12" s="20">
        <f t="shared" si="6"/>
        <v>518442</v>
      </c>
      <c r="K12" s="20">
        <f t="shared" si="6"/>
        <v>600541</v>
      </c>
      <c r="L12" s="20">
        <f t="shared" si="6"/>
        <v>391238</v>
      </c>
      <c r="M12" s="20">
        <f t="shared" si="6"/>
        <v>395877</v>
      </c>
      <c r="N12" s="20">
        <f t="shared" si="6"/>
        <v>414474</v>
      </c>
      <c r="O12" s="20">
        <f>SUM(C12:N12)</f>
        <v>7445805</v>
      </c>
      <c r="P12" s="13">
        <f>O12/O$124</f>
        <v>1.0756359231207531E-2</v>
      </c>
    </row>
    <row r="13" spans="1:22" x14ac:dyDescent="0.2">
      <c r="B13" s="16"/>
      <c r="C13" s="9">
        <f t="shared" ref="C13:N13" si="7">C12/$O12</f>
        <v>7.4913189373076519E-2</v>
      </c>
      <c r="D13" s="9">
        <f t="shared" si="7"/>
        <v>0.13375652464709994</v>
      </c>
      <c r="E13" s="9">
        <f t="shared" si="7"/>
        <v>9.9200825162625128E-2</v>
      </c>
      <c r="F13" s="9">
        <f t="shared" si="7"/>
        <v>0.10337445044558648</v>
      </c>
      <c r="G13" s="9">
        <f t="shared" si="7"/>
        <v>9.6143533170691423E-2</v>
      </c>
      <c r="H13" s="9">
        <f t="shared" si="7"/>
        <v>8.830999468828421E-2</v>
      </c>
      <c r="I13" s="9">
        <f t="shared" si="7"/>
        <v>9.2639815305396792E-2</v>
      </c>
      <c r="J13" s="9">
        <f t="shared" si="7"/>
        <v>6.962873725540758E-2</v>
      </c>
      <c r="K13" s="9">
        <f t="shared" si="7"/>
        <v>8.0654945972933753E-2</v>
      </c>
      <c r="L13" s="9">
        <f t="shared" si="7"/>
        <v>5.2544755066779213E-2</v>
      </c>
      <c r="M13" s="9">
        <f t="shared" si="7"/>
        <v>5.3167790453819301E-2</v>
      </c>
      <c r="N13" s="9">
        <f t="shared" si="7"/>
        <v>5.5665438458299674E-2</v>
      </c>
      <c r="O13" s="20"/>
      <c r="P13" s="13"/>
    </row>
    <row r="14" spans="1:22" x14ac:dyDescent="0.2">
      <c r="B14" s="16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13"/>
    </row>
    <row r="15" spans="1:22" x14ac:dyDescent="0.2">
      <c r="A15" s="16" t="s">
        <v>41</v>
      </c>
      <c r="B15" s="16" t="s">
        <v>42</v>
      </c>
      <c r="C15" s="20">
        <f>C139+C189+C239</f>
        <v>423833</v>
      </c>
      <c r="D15" s="20">
        <f t="shared" ref="D15:N15" si="8">D139+D189+D239</f>
        <v>382523</v>
      </c>
      <c r="E15" s="20">
        <f t="shared" si="8"/>
        <v>458574</v>
      </c>
      <c r="F15" s="20">
        <f t="shared" si="8"/>
        <v>413355</v>
      </c>
      <c r="G15" s="20">
        <f t="shared" si="8"/>
        <v>380547</v>
      </c>
      <c r="H15" s="20">
        <f t="shared" si="8"/>
        <v>470662</v>
      </c>
      <c r="I15" s="20">
        <f t="shared" si="8"/>
        <v>781770</v>
      </c>
      <c r="J15" s="20">
        <f t="shared" si="8"/>
        <v>310303</v>
      </c>
      <c r="K15" s="20">
        <f t="shared" si="8"/>
        <v>297109</v>
      </c>
      <c r="L15" s="20">
        <f t="shared" si="8"/>
        <v>341078</v>
      </c>
      <c r="M15" s="20">
        <f t="shared" si="8"/>
        <v>368275</v>
      </c>
      <c r="N15" s="20">
        <f t="shared" si="8"/>
        <v>334010</v>
      </c>
      <c r="O15" s="20">
        <f>SUM(C15:N15)</f>
        <v>4962039</v>
      </c>
      <c r="P15" s="13">
        <f>O15/O$122</f>
        <v>3.1999746119285799E-2</v>
      </c>
    </row>
    <row r="16" spans="1:22" x14ac:dyDescent="0.2">
      <c r="B16" s="16"/>
      <c r="C16" s="9">
        <f t="shared" ref="C16:N16" si="9">C15/$O15</f>
        <v>8.5415088434411743E-2</v>
      </c>
      <c r="D16" s="9">
        <f t="shared" si="9"/>
        <v>7.7089881800606566E-2</v>
      </c>
      <c r="E16" s="9">
        <f t="shared" si="9"/>
        <v>9.2416444127101788E-2</v>
      </c>
      <c r="F16" s="9">
        <f t="shared" si="9"/>
        <v>8.3303456502457962E-2</v>
      </c>
      <c r="G16" s="9">
        <f t="shared" si="9"/>
        <v>7.6691658408972602E-2</v>
      </c>
      <c r="H16" s="9">
        <f t="shared" si="9"/>
        <v>9.4852539450012388E-2</v>
      </c>
      <c r="I16" s="9">
        <f t="shared" si="9"/>
        <v>0.15755015226603419</v>
      </c>
      <c r="J16" s="9">
        <f t="shared" si="9"/>
        <v>6.2535381120543396E-2</v>
      </c>
      <c r="K16" s="9">
        <f t="shared" si="9"/>
        <v>5.9876393555149406E-2</v>
      </c>
      <c r="L16" s="9">
        <f t="shared" si="9"/>
        <v>6.8737468609174582E-2</v>
      </c>
      <c r="M16" s="9">
        <f t="shared" si="9"/>
        <v>7.4218481555666932E-2</v>
      </c>
      <c r="N16" s="9">
        <f t="shared" si="9"/>
        <v>6.7313054169868478E-2</v>
      </c>
      <c r="O16" s="20"/>
      <c r="P16" s="13"/>
    </row>
    <row r="17" spans="1:16" x14ac:dyDescent="0.2">
      <c r="B17" s="16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13"/>
    </row>
    <row r="18" spans="1:16" x14ac:dyDescent="0.2">
      <c r="A18" s="16" t="s">
        <v>43</v>
      </c>
      <c r="B18" s="16" t="s">
        <v>44</v>
      </c>
      <c r="C18" s="20">
        <f>C140+C190+C240</f>
        <v>0</v>
      </c>
      <c r="D18" s="20">
        <f t="shared" ref="D18:N18" si="10">D140+D190+D240</f>
        <v>0</v>
      </c>
      <c r="E18" s="20">
        <f t="shared" si="10"/>
        <v>0</v>
      </c>
      <c r="F18" s="20">
        <f t="shared" si="10"/>
        <v>0</v>
      </c>
      <c r="G18" s="20">
        <f t="shared" si="10"/>
        <v>82</v>
      </c>
      <c r="H18" s="20">
        <f t="shared" si="10"/>
        <v>2400</v>
      </c>
      <c r="I18" s="20">
        <f t="shared" si="10"/>
        <v>84</v>
      </c>
      <c r="J18" s="20">
        <f t="shared" si="10"/>
        <v>0</v>
      </c>
      <c r="K18" s="20">
        <f t="shared" si="10"/>
        <v>0</v>
      </c>
      <c r="L18" s="20">
        <f t="shared" si="10"/>
        <v>-815</v>
      </c>
      <c r="M18" s="20">
        <f t="shared" si="10"/>
        <v>3761</v>
      </c>
      <c r="N18" s="20">
        <f t="shared" si="10"/>
        <v>0</v>
      </c>
      <c r="O18" s="20">
        <f>SUM(C18:N18)</f>
        <v>5512</v>
      </c>
      <c r="P18" s="13">
        <f>O18/O$122</f>
        <v>3.5546395465554247E-5</v>
      </c>
    </row>
    <row r="19" spans="1:16" x14ac:dyDescent="0.2">
      <c r="B19" s="16"/>
      <c r="C19" s="9">
        <f t="shared" ref="C19:N19" si="11">C18/$O18</f>
        <v>0</v>
      </c>
      <c r="D19" s="9">
        <f t="shared" si="11"/>
        <v>0</v>
      </c>
      <c r="E19" s="9">
        <f t="shared" si="11"/>
        <v>0</v>
      </c>
      <c r="F19" s="9">
        <f t="shared" si="11"/>
        <v>0</v>
      </c>
      <c r="G19" s="9">
        <f t="shared" si="11"/>
        <v>1.4876632801161103E-2</v>
      </c>
      <c r="H19" s="9">
        <f t="shared" si="11"/>
        <v>0.43541364296081275</v>
      </c>
      <c r="I19" s="9">
        <f t="shared" si="11"/>
        <v>1.5239477503628448E-2</v>
      </c>
      <c r="J19" s="9">
        <f t="shared" si="11"/>
        <v>0</v>
      </c>
      <c r="K19" s="9">
        <f t="shared" si="11"/>
        <v>0</v>
      </c>
      <c r="L19" s="9">
        <f t="shared" si="11"/>
        <v>-0.14785921625544268</v>
      </c>
      <c r="M19" s="9">
        <f t="shared" si="11"/>
        <v>0.68232946298984032</v>
      </c>
      <c r="N19" s="9">
        <f t="shared" si="11"/>
        <v>0</v>
      </c>
      <c r="O19" s="20"/>
      <c r="P19" s="13"/>
    </row>
    <row r="20" spans="1:16" x14ac:dyDescent="0.2">
      <c r="B20" s="16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13"/>
    </row>
    <row r="21" spans="1:16" x14ac:dyDescent="0.2">
      <c r="A21" s="16" t="s">
        <v>45</v>
      </c>
      <c r="B21" s="16" t="s">
        <v>46</v>
      </c>
      <c r="C21" s="20">
        <f>C141+C191+C241</f>
        <v>9774202</v>
      </c>
      <c r="D21" s="20">
        <f t="shared" ref="D21:N21" si="12">D141+D191+D241</f>
        <v>11728204</v>
      </c>
      <c r="E21" s="20">
        <f t="shared" si="12"/>
        <v>11801894</v>
      </c>
      <c r="F21" s="20">
        <f t="shared" si="12"/>
        <v>11518782</v>
      </c>
      <c r="G21" s="20">
        <f t="shared" si="12"/>
        <v>8881883</v>
      </c>
      <c r="H21" s="20">
        <f t="shared" si="12"/>
        <v>8708680</v>
      </c>
      <c r="I21" s="20">
        <f t="shared" si="12"/>
        <v>9317706</v>
      </c>
      <c r="J21" s="20">
        <f t="shared" si="12"/>
        <v>5742245</v>
      </c>
      <c r="K21" s="20">
        <f t="shared" si="12"/>
        <v>7265674</v>
      </c>
      <c r="L21" s="20">
        <f t="shared" si="12"/>
        <v>6285709</v>
      </c>
      <c r="M21" s="20">
        <f t="shared" si="12"/>
        <v>7338281</v>
      </c>
      <c r="N21" s="20">
        <f t="shared" si="12"/>
        <v>9208534</v>
      </c>
      <c r="O21" s="20">
        <f>SUM(C21:N21)</f>
        <v>107571794</v>
      </c>
      <c r="P21" s="13">
        <f>O21/O$122</f>
        <v>0.69372088723932057</v>
      </c>
    </row>
    <row r="22" spans="1:16" x14ac:dyDescent="0.2">
      <c r="B22" s="16"/>
      <c r="C22" s="9">
        <f t="shared" ref="C22:N22" si="13">C21/$O21</f>
        <v>9.0862126925204942E-2</v>
      </c>
      <c r="D22" s="9">
        <f t="shared" si="13"/>
        <v>0.10902675844562004</v>
      </c>
      <c r="E22" s="9">
        <f t="shared" si="13"/>
        <v>0.10971178931904771</v>
      </c>
      <c r="F22" s="9">
        <f t="shared" si="13"/>
        <v>0.10707994699800209</v>
      </c>
      <c r="G22" s="9">
        <f t="shared" si="13"/>
        <v>8.2567024958233939E-2</v>
      </c>
      <c r="H22" s="9">
        <f t="shared" si="13"/>
        <v>8.0956909577988442E-2</v>
      </c>
      <c r="I22" s="9">
        <f t="shared" si="13"/>
        <v>8.661848662670811E-2</v>
      </c>
      <c r="J22" s="9">
        <f t="shared" si="13"/>
        <v>5.3380582274197265E-2</v>
      </c>
      <c r="K22" s="9">
        <f t="shared" si="13"/>
        <v>6.7542556741221588E-2</v>
      </c>
      <c r="L22" s="9">
        <f t="shared" si="13"/>
        <v>5.8432687289755529E-2</v>
      </c>
      <c r="M22" s="9">
        <f t="shared" si="13"/>
        <v>6.8217519919766323E-2</v>
      </c>
      <c r="N22" s="9">
        <f t="shared" si="13"/>
        <v>8.5603610924253989E-2</v>
      </c>
      <c r="O22" s="20"/>
      <c r="P22" s="13"/>
    </row>
    <row r="23" spans="1:16" x14ac:dyDescent="0.2">
      <c r="B23" s="16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13"/>
    </row>
    <row r="24" spans="1:16" x14ac:dyDescent="0.2">
      <c r="A24" s="16" t="s">
        <v>47</v>
      </c>
      <c r="B24" s="16" t="s">
        <v>48</v>
      </c>
      <c r="C24" s="20">
        <f>C142+C192+C242</f>
        <v>411734</v>
      </c>
      <c r="D24" s="20">
        <f t="shared" ref="D24:N24" si="14">D142+D192+D242</f>
        <v>385375</v>
      </c>
      <c r="E24" s="20">
        <f t="shared" si="14"/>
        <v>533655</v>
      </c>
      <c r="F24" s="20">
        <f t="shared" si="14"/>
        <v>630564</v>
      </c>
      <c r="G24" s="20">
        <f t="shared" si="14"/>
        <v>449304</v>
      </c>
      <c r="H24" s="20">
        <f t="shared" si="14"/>
        <v>444164</v>
      </c>
      <c r="I24" s="20">
        <f t="shared" si="14"/>
        <v>823426</v>
      </c>
      <c r="J24" s="20">
        <f t="shared" si="14"/>
        <v>901955</v>
      </c>
      <c r="K24" s="20">
        <f t="shared" si="14"/>
        <v>643777</v>
      </c>
      <c r="L24" s="20">
        <f t="shared" si="14"/>
        <v>761238</v>
      </c>
      <c r="M24" s="20">
        <f t="shared" si="14"/>
        <v>558343</v>
      </c>
      <c r="N24" s="20">
        <f t="shared" si="14"/>
        <v>757553</v>
      </c>
      <c r="O24" s="20">
        <f>SUM(C24:N24)</f>
        <v>7301088</v>
      </c>
      <c r="P24" s="13">
        <f>O24/O$130</f>
        <v>0.14707319805877805</v>
      </c>
    </row>
    <row r="25" spans="1:16" x14ac:dyDescent="0.2">
      <c r="B25" s="16"/>
      <c r="C25" s="9">
        <f t="shared" ref="C25:N25" si="15">C24/$O24</f>
        <v>5.6393512857261824E-2</v>
      </c>
      <c r="D25" s="9">
        <f t="shared" si="15"/>
        <v>5.2783229020113169E-2</v>
      </c>
      <c r="E25" s="9">
        <f t="shared" si="15"/>
        <v>7.3092530866632477E-2</v>
      </c>
      <c r="F25" s="9">
        <f t="shared" si="15"/>
        <v>8.6365758089753192E-2</v>
      </c>
      <c r="G25" s="9">
        <f t="shared" si="15"/>
        <v>6.1539321262803572E-2</v>
      </c>
      <c r="H25" s="9">
        <f t="shared" si="15"/>
        <v>6.0835316599389025E-2</v>
      </c>
      <c r="I25" s="9">
        <f t="shared" si="15"/>
        <v>0.11278127314723504</v>
      </c>
      <c r="J25" s="9">
        <f t="shared" si="15"/>
        <v>0.12353706735215354</v>
      </c>
      <c r="K25" s="9">
        <f t="shared" si="15"/>
        <v>8.8175488365569626E-2</v>
      </c>
      <c r="L25" s="9">
        <f t="shared" si="15"/>
        <v>0.10426363851524595</v>
      </c>
      <c r="M25" s="9">
        <f t="shared" si="15"/>
        <v>7.647394470522749E-2</v>
      </c>
      <c r="N25" s="9">
        <f t="shared" si="15"/>
        <v>0.10375891921861509</v>
      </c>
      <c r="O25" s="20"/>
      <c r="P25" s="13"/>
    </row>
    <row r="26" spans="1:16" x14ac:dyDescent="0.2">
      <c r="B26" s="16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13"/>
    </row>
    <row r="27" spans="1:16" x14ac:dyDescent="0.2">
      <c r="A27" s="16" t="s">
        <v>49</v>
      </c>
      <c r="B27" s="16" t="s">
        <v>50</v>
      </c>
      <c r="C27" s="20">
        <f>C143+C193+C243</f>
        <v>0</v>
      </c>
      <c r="D27" s="20">
        <f t="shared" ref="D27:N27" si="16">D143+D193+D243</f>
        <v>0</v>
      </c>
      <c r="E27" s="20">
        <f t="shared" si="16"/>
        <v>0</v>
      </c>
      <c r="F27" s="20">
        <f t="shared" si="16"/>
        <v>0</v>
      </c>
      <c r="G27" s="20">
        <f t="shared" si="16"/>
        <v>0</v>
      </c>
      <c r="H27" s="20">
        <f t="shared" si="16"/>
        <v>0</v>
      </c>
      <c r="I27" s="20">
        <f t="shared" si="16"/>
        <v>0</v>
      </c>
      <c r="J27" s="20">
        <f t="shared" si="16"/>
        <v>0</v>
      </c>
      <c r="K27" s="20">
        <f t="shared" si="16"/>
        <v>0</v>
      </c>
      <c r="L27" s="20">
        <f t="shared" si="16"/>
        <v>0</v>
      </c>
      <c r="M27" s="20">
        <f t="shared" si="16"/>
        <v>0</v>
      </c>
      <c r="N27" s="20">
        <f t="shared" si="16"/>
        <v>0</v>
      </c>
      <c r="O27" s="20">
        <f>SUM(C27:N27)</f>
        <v>0</v>
      </c>
      <c r="P27" s="13">
        <f>O27/O$122</f>
        <v>0</v>
      </c>
    </row>
    <row r="28" spans="1:16" x14ac:dyDescent="0.2">
      <c r="B28" s="16"/>
      <c r="C28" s="9" t="e">
        <f t="shared" ref="C28:N28" si="17">C27/$O27</f>
        <v>#DIV/0!</v>
      </c>
      <c r="D28" s="9" t="e">
        <f t="shared" si="17"/>
        <v>#DIV/0!</v>
      </c>
      <c r="E28" s="9" t="e">
        <f t="shared" si="17"/>
        <v>#DIV/0!</v>
      </c>
      <c r="F28" s="9" t="e">
        <f t="shared" si="17"/>
        <v>#DIV/0!</v>
      </c>
      <c r="G28" s="9" t="e">
        <f t="shared" si="17"/>
        <v>#DIV/0!</v>
      </c>
      <c r="H28" s="9" t="e">
        <f t="shared" si="17"/>
        <v>#DIV/0!</v>
      </c>
      <c r="I28" s="9" t="e">
        <f t="shared" si="17"/>
        <v>#DIV/0!</v>
      </c>
      <c r="J28" s="9" t="e">
        <f t="shared" si="17"/>
        <v>#DIV/0!</v>
      </c>
      <c r="K28" s="9" t="e">
        <f t="shared" si="17"/>
        <v>#DIV/0!</v>
      </c>
      <c r="L28" s="9" t="e">
        <f t="shared" si="17"/>
        <v>#DIV/0!</v>
      </c>
      <c r="M28" s="9" t="e">
        <f t="shared" si="17"/>
        <v>#DIV/0!</v>
      </c>
      <c r="N28" s="9" t="e">
        <f t="shared" si="17"/>
        <v>#DIV/0!</v>
      </c>
      <c r="O28" s="20"/>
      <c r="P28" s="13"/>
    </row>
    <row r="29" spans="1:16" x14ac:dyDescent="0.2">
      <c r="B29" s="16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13"/>
    </row>
    <row r="30" spans="1:16" x14ac:dyDescent="0.2">
      <c r="A30" s="16" t="s">
        <v>51</v>
      </c>
      <c r="B30" s="16" t="s">
        <v>52</v>
      </c>
      <c r="C30" s="20">
        <f>C144+C194+C244</f>
        <v>3556254</v>
      </c>
      <c r="D30" s="20">
        <f t="shared" ref="D30:N30" si="18">D144+D194+D244</f>
        <v>4531107</v>
      </c>
      <c r="E30" s="20">
        <f t="shared" si="18"/>
        <v>3927108</v>
      </c>
      <c r="F30" s="20">
        <f t="shared" si="18"/>
        <v>4414846</v>
      </c>
      <c r="G30" s="20">
        <f t="shared" si="18"/>
        <v>4859714</v>
      </c>
      <c r="H30" s="20">
        <f t="shared" si="18"/>
        <v>3302780</v>
      </c>
      <c r="I30" s="20">
        <f t="shared" si="18"/>
        <v>2791653</v>
      </c>
      <c r="J30" s="20">
        <f t="shared" si="18"/>
        <v>1215406</v>
      </c>
      <c r="K30" s="20">
        <f t="shared" si="18"/>
        <v>1612957</v>
      </c>
      <c r="L30" s="20">
        <f t="shared" si="18"/>
        <v>1887901</v>
      </c>
      <c r="M30" s="20">
        <f t="shared" si="18"/>
        <v>1846604</v>
      </c>
      <c r="N30" s="20">
        <f t="shared" si="18"/>
        <v>4987142</v>
      </c>
      <c r="O30" s="20">
        <f>SUM(C30:N30)</f>
        <v>38933472</v>
      </c>
      <c r="P30" s="13">
        <f>P126</f>
        <v>4.0295383803526812E-2</v>
      </c>
    </row>
    <row r="31" spans="1:16" x14ac:dyDescent="0.2">
      <c r="B31" s="16"/>
      <c r="C31" s="9">
        <f t="shared" ref="C31:N31" si="19">C30/$O30</f>
        <v>9.1341815083946273E-2</v>
      </c>
      <c r="D31" s="9">
        <f t="shared" si="19"/>
        <v>0.1163807584383946</v>
      </c>
      <c r="E31" s="9">
        <f t="shared" si="19"/>
        <v>0.10086714074716994</v>
      </c>
      <c r="F31" s="9">
        <f t="shared" si="19"/>
        <v>0.11339461325206239</v>
      </c>
      <c r="G31" s="9">
        <f t="shared" si="19"/>
        <v>0.12482097666501461</v>
      </c>
      <c r="H31" s="9">
        <f t="shared" si="19"/>
        <v>8.4831375943044587E-2</v>
      </c>
      <c r="I31" s="9">
        <f t="shared" si="19"/>
        <v>7.1703160714770051E-2</v>
      </c>
      <c r="J31" s="9">
        <f t="shared" si="19"/>
        <v>3.1217508677366355E-2</v>
      </c>
      <c r="K31" s="9">
        <f t="shared" si="19"/>
        <v>4.1428542514780085E-2</v>
      </c>
      <c r="L31" s="9">
        <f t="shared" si="19"/>
        <v>4.8490435171052816E-2</v>
      </c>
      <c r="M31" s="9">
        <f t="shared" si="19"/>
        <v>4.7429728332474434E-2</v>
      </c>
      <c r="N31" s="9">
        <f t="shared" si="19"/>
        <v>0.12809394445992384</v>
      </c>
      <c r="O31" s="20"/>
      <c r="P31" s="13"/>
    </row>
    <row r="32" spans="1:16" x14ac:dyDescent="0.2">
      <c r="B32" s="16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13"/>
    </row>
    <row r="33" spans="1:16" x14ac:dyDescent="0.2">
      <c r="A33" s="16" t="s">
        <v>53</v>
      </c>
      <c r="B33" s="16" t="s">
        <v>54</v>
      </c>
      <c r="C33" s="20">
        <f>C145+C195+C245</f>
        <v>343528</v>
      </c>
      <c r="D33" s="20">
        <f t="shared" ref="D33:N33" si="20">D145+D195+D245</f>
        <v>486228</v>
      </c>
      <c r="E33" s="20">
        <f t="shared" si="20"/>
        <v>480541</v>
      </c>
      <c r="F33" s="20">
        <f t="shared" si="20"/>
        <v>859732</v>
      </c>
      <c r="G33" s="20">
        <f t="shared" si="20"/>
        <v>1032299</v>
      </c>
      <c r="H33" s="20">
        <f t="shared" si="20"/>
        <v>698585</v>
      </c>
      <c r="I33" s="20">
        <f t="shared" si="20"/>
        <v>520061</v>
      </c>
      <c r="J33" s="20">
        <f t="shared" si="20"/>
        <v>425963</v>
      </c>
      <c r="K33" s="20">
        <f t="shared" si="20"/>
        <v>682322</v>
      </c>
      <c r="L33" s="20">
        <f t="shared" si="20"/>
        <v>691480</v>
      </c>
      <c r="M33" s="20">
        <f t="shared" si="20"/>
        <v>508433</v>
      </c>
      <c r="N33" s="20">
        <f t="shared" si="20"/>
        <v>706121</v>
      </c>
      <c r="O33" s="20">
        <f>SUM(C33:N33)</f>
        <v>7435293</v>
      </c>
      <c r="P33" s="13">
        <f>O33/O$122</f>
        <v>4.7949540163328593E-2</v>
      </c>
    </row>
    <row r="34" spans="1:16" x14ac:dyDescent="0.2">
      <c r="B34" s="16"/>
      <c r="C34" s="9">
        <f t="shared" ref="C34:N34" si="21">C33/$O33</f>
        <v>4.6202348717125204E-2</v>
      </c>
      <c r="D34" s="9">
        <f t="shared" si="21"/>
        <v>6.539459843747919E-2</v>
      </c>
      <c r="E34" s="9">
        <f t="shared" si="21"/>
        <v>6.462973281617819E-2</v>
      </c>
      <c r="F34" s="9">
        <f t="shared" si="21"/>
        <v>0.11562853003909866</v>
      </c>
      <c r="G34" s="9">
        <f t="shared" si="21"/>
        <v>0.13883770283161673</v>
      </c>
      <c r="H34" s="9">
        <f t="shared" si="21"/>
        <v>9.3955275198973329E-2</v>
      </c>
      <c r="I34" s="9">
        <f t="shared" si="21"/>
        <v>6.9944923488556535E-2</v>
      </c>
      <c r="J34" s="9">
        <f t="shared" si="21"/>
        <v>5.728933614317553E-2</v>
      </c>
      <c r="K34" s="9">
        <f t="shared" si="21"/>
        <v>9.1768004300570263E-2</v>
      </c>
      <c r="L34" s="9">
        <f t="shared" si="21"/>
        <v>9.299969752368871E-2</v>
      </c>
      <c r="M34" s="9">
        <f t="shared" si="21"/>
        <v>6.8381030848414445E-2</v>
      </c>
      <c r="N34" s="9">
        <f t="shared" si="21"/>
        <v>9.4968819655123202E-2</v>
      </c>
      <c r="O34" s="20"/>
      <c r="P34" s="13"/>
    </row>
    <row r="35" spans="1:16" x14ac:dyDescent="0.2">
      <c r="B35" s="16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13"/>
    </row>
    <row r="36" spans="1:16" x14ac:dyDescent="0.2">
      <c r="A36" s="16" t="s">
        <v>55</v>
      </c>
      <c r="B36" s="16" t="s">
        <v>56</v>
      </c>
      <c r="C36" s="20">
        <f>C146+C196+C246</f>
        <v>543736</v>
      </c>
      <c r="D36" s="20">
        <f t="shared" ref="D36:N36" si="22">D146+D196+D246</f>
        <v>790165</v>
      </c>
      <c r="E36" s="20">
        <f t="shared" si="22"/>
        <v>887438</v>
      </c>
      <c r="F36" s="20">
        <f t="shared" si="22"/>
        <v>817679</v>
      </c>
      <c r="G36" s="20">
        <f t="shared" si="22"/>
        <v>675285</v>
      </c>
      <c r="H36" s="20">
        <f t="shared" si="22"/>
        <v>833411</v>
      </c>
      <c r="I36" s="20">
        <f t="shared" si="22"/>
        <v>1140641</v>
      </c>
      <c r="J36" s="20">
        <f t="shared" si="22"/>
        <v>445665</v>
      </c>
      <c r="K36" s="20">
        <f t="shared" si="22"/>
        <v>1030985</v>
      </c>
      <c r="L36" s="20">
        <f t="shared" si="22"/>
        <v>683202</v>
      </c>
      <c r="M36" s="20">
        <f t="shared" si="22"/>
        <v>552665</v>
      </c>
      <c r="N36" s="20">
        <f t="shared" si="22"/>
        <v>662692</v>
      </c>
      <c r="O36" s="20">
        <f>SUM(C36:N36)</f>
        <v>9063564</v>
      </c>
      <c r="P36" s="13">
        <f>O36/O$122</f>
        <v>5.8450114345312172E-2</v>
      </c>
    </row>
    <row r="37" spans="1:16" x14ac:dyDescent="0.2">
      <c r="B37" s="16"/>
      <c r="C37" s="9">
        <f t="shared" ref="C37:N37" si="23">C36/$O36</f>
        <v>5.9991411766938479E-2</v>
      </c>
      <c r="D37" s="9">
        <f t="shared" si="23"/>
        <v>8.7180385111199077E-2</v>
      </c>
      <c r="E37" s="9">
        <f t="shared" si="23"/>
        <v>9.7912697477504432E-2</v>
      </c>
      <c r="F37" s="9">
        <f t="shared" si="23"/>
        <v>9.0216056288674074E-2</v>
      </c>
      <c r="G37" s="9">
        <f t="shared" si="23"/>
        <v>7.4505459441782509E-2</v>
      </c>
      <c r="H37" s="9">
        <f t="shared" si="23"/>
        <v>9.1951797328291604E-2</v>
      </c>
      <c r="I37" s="9">
        <f t="shared" si="23"/>
        <v>0.12584905893531506</v>
      </c>
      <c r="J37" s="9">
        <f t="shared" si="23"/>
        <v>4.9171054565290209E-2</v>
      </c>
      <c r="K37" s="9">
        <f t="shared" si="23"/>
        <v>0.11375050697496041</v>
      </c>
      <c r="L37" s="9">
        <f t="shared" si="23"/>
        <v>7.5378956887158302E-2</v>
      </c>
      <c r="M37" s="9">
        <f t="shared" si="23"/>
        <v>6.0976565068663939E-2</v>
      </c>
      <c r="N37" s="9">
        <f t="shared" si="23"/>
        <v>7.3116050154221887E-2</v>
      </c>
      <c r="O37" s="20"/>
      <c r="P37" s="13"/>
    </row>
    <row r="38" spans="1:16" x14ac:dyDescent="0.2">
      <c r="B38" s="16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13"/>
    </row>
    <row r="39" spans="1:16" x14ac:dyDescent="0.2">
      <c r="A39" s="16" t="s">
        <v>57</v>
      </c>
      <c r="B39" s="16" t="s">
        <v>58</v>
      </c>
      <c r="C39" s="20">
        <f>C147+C197+C247</f>
        <v>341206</v>
      </c>
      <c r="D39" s="20">
        <f t="shared" ref="D39:N39" si="24">D147+D197+D247</f>
        <v>374811</v>
      </c>
      <c r="E39" s="20">
        <f t="shared" si="24"/>
        <v>396275</v>
      </c>
      <c r="F39" s="20">
        <f t="shared" si="24"/>
        <v>474002</v>
      </c>
      <c r="G39" s="20">
        <f t="shared" si="24"/>
        <v>278086</v>
      </c>
      <c r="H39" s="20">
        <f t="shared" si="24"/>
        <v>392800</v>
      </c>
      <c r="I39" s="20">
        <f t="shared" si="24"/>
        <v>346785</v>
      </c>
      <c r="J39" s="20">
        <f t="shared" si="24"/>
        <v>132077</v>
      </c>
      <c r="K39" s="20">
        <f t="shared" si="24"/>
        <v>295856</v>
      </c>
      <c r="L39" s="20">
        <f t="shared" si="24"/>
        <v>379492</v>
      </c>
      <c r="M39" s="20">
        <f t="shared" si="24"/>
        <v>315607</v>
      </c>
      <c r="N39" s="20">
        <f t="shared" si="24"/>
        <v>423959</v>
      </c>
      <c r="O39" s="20">
        <f>SUM(C39:N39)</f>
        <v>4150956</v>
      </c>
      <c r="P39" s="13">
        <f>O39/O$122</f>
        <v>2.6769144328032506E-2</v>
      </c>
    </row>
    <row r="40" spans="1:16" x14ac:dyDescent="0.2">
      <c r="B40" s="16"/>
      <c r="C40" s="9">
        <f t="shared" ref="C40:N40" si="25">C39/$O39</f>
        <v>8.2199377685525932E-2</v>
      </c>
      <c r="D40" s="9">
        <f t="shared" si="25"/>
        <v>9.0295103103959662E-2</v>
      </c>
      <c r="E40" s="9">
        <f t="shared" si="25"/>
        <v>9.5465960130630148E-2</v>
      </c>
      <c r="F40" s="9">
        <f t="shared" si="25"/>
        <v>0.11419104418355676</v>
      </c>
      <c r="G40" s="9">
        <f t="shared" si="25"/>
        <v>6.6993242038701439E-2</v>
      </c>
      <c r="H40" s="9">
        <f t="shared" si="25"/>
        <v>9.4628803581632767E-2</v>
      </c>
      <c r="I40" s="9">
        <f t="shared" si="25"/>
        <v>8.3543405422750808E-2</v>
      </c>
      <c r="J40" s="9">
        <f t="shared" si="25"/>
        <v>3.1818453387605167E-2</v>
      </c>
      <c r="K40" s="9">
        <f t="shared" si="25"/>
        <v>7.1274183585660747E-2</v>
      </c>
      <c r="L40" s="9">
        <f t="shared" si="25"/>
        <v>9.1422795134422044E-2</v>
      </c>
      <c r="M40" s="9">
        <f t="shared" si="25"/>
        <v>7.6032364592638416E-2</v>
      </c>
      <c r="N40" s="9">
        <f t="shared" si="25"/>
        <v>0.1021352671529161</v>
      </c>
      <c r="O40" s="20"/>
      <c r="P40" s="13"/>
    </row>
    <row r="41" spans="1:16" x14ac:dyDescent="0.2">
      <c r="B41" s="16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13"/>
    </row>
    <row r="42" spans="1:16" x14ac:dyDescent="0.2">
      <c r="A42" s="16" t="s">
        <v>59</v>
      </c>
      <c r="B42" s="16" t="s">
        <v>60</v>
      </c>
      <c r="C42" s="20">
        <f>C148+C198+C248</f>
        <v>6145</v>
      </c>
      <c r="D42" s="20">
        <f t="shared" ref="D42:N42" si="26">D148+D198+D248</f>
        <v>4015</v>
      </c>
      <c r="E42" s="20">
        <f t="shared" si="26"/>
        <v>5643</v>
      </c>
      <c r="F42" s="20">
        <f t="shared" si="26"/>
        <v>12367</v>
      </c>
      <c r="G42" s="20">
        <f t="shared" si="26"/>
        <v>3330</v>
      </c>
      <c r="H42" s="20">
        <f t="shared" si="26"/>
        <v>9056</v>
      </c>
      <c r="I42" s="20">
        <f t="shared" si="26"/>
        <v>4641</v>
      </c>
      <c r="J42" s="20">
        <f t="shared" si="26"/>
        <v>10074</v>
      </c>
      <c r="K42" s="20">
        <f t="shared" si="26"/>
        <v>5076</v>
      </c>
      <c r="L42" s="20">
        <f t="shared" si="26"/>
        <v>3932</v>
      </c>
      <c r="M42" s="20">
        <f t="shared" si="26"/>
        <v>13760</v>
      </c>
      <c r="N42" s="20">
        <f t="shared" si="26"/>
        <v>8684</v>
      </c>
      <c r="O42" s="20">
        <f>SUM(C42:N42)</f>
        <v>86723</v>
      </c>
      <c r="P42" s="13">
        <f>O42/O$122</f>
        <v>5.5926887771394419E-4</v>
      </c>
    </row>
    <row r="43" spans="1:16" x14ac:dyDescent="0.2">
      <c r="B43" s="16"/>
      <c r="C43" s="9">
        <f t="shared" ref="C43:N43" si="27">C42/$O42</f>
        <v>7.0857788591261836E-2</v>
      </c>
      <c r="D43" s="9">
        <f t="shared" si="27"/>
        <v>4.6296830137333808E-2</v>
      </c>
      <c r="E43" s="9">
        <f t="shared" si="27"/>
        <v>6.5069243453293818E-2</v>
      </c>
      <c r="F43" s="9">
        <f t="shared" si="27"/>
        <v>0.14260346159611637</v>
      </c>
      <c r="G43" s="9">
        <f t="shared" si="27"/>
        <v>3.8398118146281843E-2</v>
      </c>
      <c r="H43" s="9">
        <f t="shared" si="27"/>
        <v>0.10442443181163014</v>
      </c>
      <c r="I43" s="9">
        <f t="shared" si="27"/>
        <v>5.3515215110178385E-2</v>
      </c>
      <c r="J43" s="9">
        <f t="shared" si="27"/>
        <v>0.11616295561731028</v>
      </c>
      <c r="K43" s="9">
        <f t="shared" si="27"/>
        <v>5.8531185498656643E-2</v>
      </c>
      <c r="L43" s="9">
        <f t="shared" si="27"/>
        <v>4.533975992527934E-2</v>
      </c>
      <c r="M43" s="9">
        <f t="shared" si="27"/>
        <v>0.1586660978056571</v>
      </c>
      <c r="N43" s="9">
        <f t="shared" si="27"/>
        <v>0.10013491230700045</v>
      </c>
      <c r="O43" s="20"/>
      <c r="P43" s="13"/>
    </row>
    <row r="44" spans="1:16" x14ac:dyDescent="0.2">
      <c r="B44" s="16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13"/>
    </row>
    <row r="45" spans="1:16" x14ac:dyDescent="0.2">
      <c r="A45" s="16" t="s">
        <v>61</v>
      </c>
      <c r="B45" s="16" t="s">
        <v>62</v>
      </c>
      <c r="C45" s="20">
        <f>C149+C199+C249</f>
        <v>0</v>
      </c>
      <c r="D45" s="20">
        <f t="shared" ref="D45:N45" si="28">D149+D199+D249</f>
        <v>-202</v>
      </c>
      <c r="E45" s="20">
        <f t="shared" si="28"/>
        <v>0</v>
      </c>
      <c r="F45" s="20">
        <f t="shared" si="28"/>
        <v>350</v>
      </c>
      <c r="G45" s="20">
        <f t="shared" si="28"/>
        <v>0</v>
      </c>
      <c r="H45" s="20">
        <f t="shared" si="28"/>
        <v>916</v>
      </c>
      <c r="I45" s="20">
        <f t="shared" si="28"/>
        <v>0</v>
      </c>
      <c r="J45" s="20">
        <f t="shared" si="28"/>
        <v>0</v>
      </c>
      <c r="K45" s="20">
        <f t="shared" si="28"/>
        <v>0</v>
      </c>
      <c r="L45" s="20">
        <f t="shared" si="28"/>
        <v>10000</v>
      </c>
      <c r="M45" s="20">
        <f t="shared" si="28"/>
        <v>0</v>
      </c>
      <c r="N45" s="20">
        <f t="shared" si="28"/>
        <v>4312</v>
      </c>
      <c r="O45" s="20">
        <f>SUM(C45:N45)</f>
        <v>15376</v>
      </c>
      <c r="P45" s="13">
        <f>O45/O$122</f>
        <v>9.91584500505011E-5</v>
      </c>
    </row>
    <row r="46" spans="1:16" x14ac:dyDescent="0.2">
      <c r="B46" s="16"/>
      <c r="C46" s="9">
        <f t="shared" ref="C46:N46" si="29">C45/$O45</f>
        <v>0</v>
      </c>
      <c r="D46" s="9">
        <f t="shared" si="29"/>
        <v>-1.313735691987513E-2</v>
      </c>
      <c r="E46" s="9">
        <f t="shared" si="29"/>
        <v>0</v>
      </c>
      <c r="F46" s="9">
        <f t="shared" si="29"/>
        <v>2.2762747138397502E-2</v>
      </c>
      <c r="G46" s="9">
        <f t="shared" si="29"/>
        <v>0</v>
      </c>
      <c r="H46" s="9">
        <f t="shared" si="29"/>
        <v>5.9573361082206032E-2</v>
      </c>
      <c r="I46" s="9">
        <f t="shared" si="29"/>
        <v>0</v>
      </c>
      <c r="J46" s="9">
        <f t="shared" si="29"/>
        <v>0</v>
      </c>
      <c r="K46" s="9">
        <f t="shared" si="29"/>
        <v>0</v>
      </c>
      <c r="L46" s="9">
        <f t="shared" si="29"/>
        <v>0.65036420395421435</v>
      </c>
      <c r="M46" s="9">
        <f t="shared" si="29"/>
        <v>0</v>
      </c>
      <c r="N46" s="9">
        <f t="shared" si="29"/>
        <v>0.28043704474505721</v>
      </c>
      <c r="O46" s="20"/>
      <c r="P46" s="13"/>
    </row>
    <row r="47" spans="1:16" x14ac:dyDescent="0.2">
      <c r="B47" s="16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13"/>
    </row>
    <row r="48" spans="1:16" x14ac:dyDescent="0.2">
      <c r="A48" s="16" t="s">
        <v>63</v>
      </c>
      <c r="B48" s="16" t="s">
        <v>64</v>
      </c>
      <c r="C48" s="20">
        <f>C150+C200+C250</f>
        <v>-542377</v>
      </c>
      <c r="D48" s="20">
        <f t="shared" ref="D48:N48" si="30">D150+D200+D250</f>
        <v>1108598</v>
      </c>
      <c r="E48" s="20">
        <f t="shared" si="30"/>
        <v>283039</v>
      </c>
      <c r="F48" s="20">
        <f t="shared" si="30"/>
        <v>280839</v>
      </c>
      <c r="G48" s="20">
        <f t="shared" si="30"/>
        <v>283111</v>
      </c>
      <c r="H48" s="20">
        <f t="shared" si="30"/>
        <v>192279</v>
      </c>
      <c r="I48" s="20">
        <f t="shared" si="30"/>
        <v>377191</v>
      </c>
      <c r="J48" s="20">
        <f t="shared" si="30"/>
        <v>188981</v>
      </c>
      <c r="K48" s="20">
        <f t="shared" si="30"/>
        <v>180476</v>
      </c>
      <c r="L48" s="20">
        <f t="shared" si="30"/>
        <v>179270</v>
      </c>
      <c r="M48" s="20">
        <f t="shared" si="30"/>
        <v>188981</v>
      </c>
      <c r="N48" s="20">
        <f t="shared" si="30"/>
        <v>188981</v>
      </c>
      <c r="O48" s="20">
        <f>SUM(C48:N48)</f>
        <v>2909369</v>
      </c>
      <c r="P48" s="13">
        <f>O48/O$122</f>
        <v>1.8762260709220626E-2</v>
      </c>
    </row>
    <row r="49" spans="1:16" x14ac:dyDescent="0.2">
      <c r="B49" s="16"/>
      <c r="C49" s="9">
        <f t="shared" ref="C49:N49" si="31">C48/$O48</f>
        <v>-0.18642427275467635</v>
      </c>
      <c r="D49" s="9">
        <f t="shared" si="31"/>
        <v>0.38104413706202273</v>
      </c>
      <c r="E49" s="9">
        <f t="shared" si="31"/>
        <v>9.7285356377963747E-2</v>
      </c>
      <c r="F49" s="9">
        <f t="shared" si="31"/>
        <v>9.6529178663827112E-2</v>
      </c>
      <c r="G49" s="9">
        <f t="shared" si="31"/>
        <v>9.7310104012244575E-2</v>
      </c>
      <c r="H49" s="9">
        <f t="shared" si="31"/>
        <v>6.6089588498399479E-2</v>
      </c>
      <c r="I49" s="9">
        <f t="shared" si="31"/>
        <v>0.1296470128058696</v>
      </c>
      <c r="J49" s="9">
        <f t="shared" si="31"/>
        <v>6.4956009361480105E-2</v>
      </c>
      <c r="K49" s="9">
        <f t="shared" si="31"/>
        <v>6.2032695062056414E-2</v>
      </c>
      <c r="L49" s="9">
        <f t="shared" si="31"/>
        <v>6.161817218785242E-2</v>
      </c>
      <c r="M49" s="9">
        <f t="shared" si="31"/>
        <v>6.4956009361480105E-2</v>
      </c>
      <c r="N49" s="9">
        <f t="shared" si="31"/>
        <v>6.4956009361480105E-2</v>
      </c>
      <c r="O49" s="20"/>
      <c r="P49" s="13"/>
    </row>
    <row r="50" spans="1:16" x14ac:dyDescent="0.2">
      <c r="B50" s="16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13"/>
    </row>
    <row r="51" spans="1:16" x14ac:dyDescent="0.2">
      <c r="A51" s="16" t="s">
        <v>65</v>
      </c>
      <c r="B51" s="16" t="s">
        <v>66</v>
      </c>
      <c r="C51" s="20">
        <f>C151+C201+C251</f>
        <v>0</v>
      </c>
      <c r="D51" s="20">
        <f t="shared" ref="D51:N51" si="32">D151+D201+D251</f>
        <v>0</v>
      </c>
      <c r="E51" s="20">
        <f t="shared" si="32"/>
        <v>0</v>
      </c>
      <c r="F51" s="20">
        <f t="shared" si="32"/>
        <v>0</v>
      </c>
      <c r="G51" s="20">
        <f t="shared" si="32"/>
        <v>0</v>
      </c>
      <c r="H51" s="20">
        <f t="shared" si="32"/>
        <v>0</v>
      </c>
      <c r="I51" s="20">
        <f t="shared" si="32"/>
        <v>0</v>
      </c>
      <c r="J51" s="20">
        <f t="shared" si="32"/>
        <v>0</v>
      </c>
      <c r="K51" s="20">
        <f t="shared" si="32"/>
        <v>0</v>
      </c>
      <c r="L51" s="20">
        <f t="shared" si="32"/>
        <v>0</v>
      </c>
      <c r="M51" s="20">
        <f t="shared" si="32"/>
        <v>0</v>
      </c>
      <c r="N51" s="20">
        <f t="shared" si="32"/>
        <v>0</v>
      </c>
      <c r="O51" s="20">
        <f t="shared" ref="O51" si="33">O201+O251+O301</f>
        <v>0</v>
      </c>
      <c r="P51" s="13">
        <f>O51/O$122</f>
        <v>0</v>
      </c>
    </row>
    <row r="52" spans="1:16" x14ac:dyDescent="0.2">
      <c r="B52" s="16"/>
      <c r="C52" s="9" t="e">
        <f t="shared" ref="C52:N52" si="34">C51/$O51</f>
        <v>#DIV/0!</v>
      </c>
      <c r="D52" s="9" t="e">
        <f t="shared" si="34"/>
        <v>#DIV/0!</v>
      </c>
      <c r="E52" s="9" t="e">
        <f t="shared" si="34"/>
        <v>#DIV/0!</v>
      </c>
      <c r="F52" s="9" t="e">
        <f t="shared" si="34"/>
        <v>#DIV/0!</v>
      </c>
      <c r="G52" s="9" t="e">
        <f t="shared" si="34"/>
        <v>#DIV/0!</v>
      </c>
      <c r="H52" s="9" t="e">
        <f t="shared" si="34"/>
        <v>#DIV/0!</v>
      </c>
      <c r="I52" s="9" t="e">
        <f t="shared" si="34"/>
        <v>#DIV/0!</v>
      </c>
      <c r="J52" s="9" t="e">
        <f t="shared" si="34"/>
        <v>#DIV/0!</v>
      </c>
      <c r="K52" s="9" t="e">
        <f t="shared" si="34"/>
        <v>#DIV/0!</v>
      </c>
      <c r="L52" s="9" t="e">
        <f t="shared" si="34"/>
        <v>#DIV/0!</v>
      </c>
      <c r="M52" s="9" t="e">
        <f t="shared" si="34"/>
        <v>#DIV/0!</v>
      </c>
      <c r="N52" s="9" t="e">
        <f t="shared" si="34"/>
        <v>#DIV/0!</v>
      </c>
      <c r="O52" s="20"/>
      <c r="P52" s="13"/>
    </row>
    <row r="53" spans="1:16" x14ac:dyDescent="0.2">
      <c r="B53" s="16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13"/>
    </row>
    <row r="54" spans="1:16" x14ac:dyDescent="0.2">
      <c r="A54" s="16" t="s">
        <v>67</v>
      </c>
      <c r="B54" s="16" t="s">
        <v>68</v>
      </c>
      <c r="C54" s="20">
        <f>C152+C202+C252</f>
        <v>10406</v>
      </c>
      <c r="D54" s="20">
        <f t="shared" ref="D54:N54" si="35">D152+D202+D252</f>
        <v>66249</v>
      </c>
      <c r="E54" s="20">
        <f t="shared" si="35"/>
        <v>20707</v>
      </c>
      <c r="F54" s="20">
        <f t="shared" si="35"/>
        <v>16308</v>
      </c>
      <c r="G54" s="20">
        <f t="shared" si="35"/>
        <v>39753</v>
      </c>
      <c r="H54" s="20">
        <f t="shared" si="35"/>
        <v>21854</v>
      </c>
      <c r="I54" s="20">
        <f t="shared" si="35"/>
        <v>16881</v>
      </c>
      <c r="J54" s="20">
        <f t="shared" si="35"/>
        <v>34494</v>
      </c>
      <c r="K54" s="20">
        <f t="shared" si="35"/>
        <v>27719</v>
      </c>
      <c r="L54" s="20">
        <f t="shared" si="35"/>
        <v>9671</v>
      </c>
      <c r="M54" s="20">
        <f t="shared" si="35"/>
        <v>26017</v>
      </c>
      <c r="N54" s="20">
        <f t="shared" si="35"/>
        <v>12924</v>
      </c>
      <c r="O54" s="20">
        <f>SUM(C54:N54)</f>
        <v>302983</v>
      </c>
      <c r="P54" s="13">
        <f>O54/O$122</f>
        <v>1.9539102934216296E-3</v>
      </c>
    </row>
    <row r="55" spans="1:16" x14ac:dyDescent="0.2">
      <c r="B55" s="16"/>
      <c r="C55" s="9">
        <f t="shared" ref="C55:N55" si="36">C54/$O54</f>
        <v>3.4345161279675761E-2</v>
      </c>
      <c r="D55" s="9">
        <f t="shared" si="36"/>
        <v>0.21865583217540258</v>
      </c>
      <c r="E55" s="9">
        <f t="shared" si="36"/>
        <v>6.8343768462256954E-2</v>
      </c>
      <c r="F55" s="9">
        <f t="shared" si="36"/>
        <v>5.3824802051600257E-2</v>
      </c>
      <c r="G55" s="9">
        <f t="shared" si="36"/>
        <v>0.13120538115999908</v>
      </c>
      <c r="H55" s="9">
        <f t="shared" si="36"/>
        <v>7.2129459408613691E-2</v>
      </c>
      <c r="I55" s="9">
        <f t="shared" si="36"/>
        <v>5.5715997267173405E-2</v>
      </c>
      <c r="J55" s="9">
        <f t="shared" si="36"/>
        <v>0.11384797166837743</v>
      </c>
      <c r="K55" s="9">
        <f t="shared" si="36"/>
        <v>9.1486981117752483E-2</v>
      </c>
      <c r="L55" s="9">
        <f t="shared" si="36"/>
        <v>3.1919282600013865E-2</v>
      </c>
      <c r="M55" s="9">
        <f t="shared" si="36"/>
        <v>8.5869504229610247E-2</v>
      </c>
      <c r="N55" s="9">
        <f t="shared" si="36"/>
        <v>4.2655858579524267E-2</v>
      </c>
      <c r="O55" s="20"/>
      <c r="P55" s="13"/>
    </row>
    <row r="56" spans="1:16" x14ac:dyDescent="0.2">
      <c r="B56" s="16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13"/>
    </row>
    <row r="57" spans="1:16" x14ac:dyDescent="0.2">
      <c r="A57" s="16" t="s">
        <v>69</v>
      </c>
      <c r="B57" s="16" t="s">
        <v>70</v>
      </c>
      <c r="C57" s="20">
        <f>C153+C203+C253</f>
        <v>150155</v>
      </c>
      <c r="D57" s="20">
        <f t="shared" ref="D57:N57" si="37">D153+D203+D253</f>
        <v>132837</v>
      </c>
      <c r="E57" s="20">
        <f t="shared" si="37"/>
        <v>194732</v>
      </c>
      <c r="F57" s="20">
        <f t="shared" si="37"/>
        <v>149528</v>
      </c>
      <c r="G57" s="20">
        <f t="shared" si="37"/>
        <v>111461</v>
      </c>
      <c r="H57" s="20">
        <f t="shared" si="37"/>
        <v>81472</v>
      </c>
      <c r="I57" s="20">
        <f t="shared" si="37"/>
        <v>68669</v>
      </c>
      <c r="J57" s="20">
        <f t="shared" si="37"/>
        <v>43637</v>
      </c>
      <c r="K57" s="20">
        <f t="shared" si="37"/>
        <v>126956</v>
      </c>
      <c r="L57" s="20">
        <f t="shared" si="37"/>
        <v>113224</v>
      </c>
      <c r="M57" s="20">
        <f t="shared" si="37"/>
        <v>163558</v>
      </c>
      <c r="N57" s="20">
        <f t="shared" si="37"/>
        <v>488495</v>
      </c>
      <c r="O57" s="20">
        <f>SUM(C57:N57)</f>
        <v>1824724</v>
      </c>
      <c r="P57" s="13">
        <f>O57/O$122</f>
        <v>1.1767482024580552E-2</v>
      </c>
    </row>
    <row r="58" spans="1:16" x14ac:dyDescent="0.2">
      <c r="B58" s="16"/>
      <c r="C58" s="9">
        <f t="shared" ref="C58:N58" si="38">C57/$O57</f>
        <v>8.2289157154725859E-2</v>
      </c>
      <c r="D58" s="9">
        <f t="shared" si="38"/>
        <v>7.279840677275029E-2</v>
      </c>
      <c r="E58" s="9">
        <f t="shared" si="38"/>
        <v>0.10671860511507494</v>
      </c>
      <c r="F58" s="9">
        <f t="shared" si="38"/>
        <v>8.1945543545215604E-2</v>
      </c>
      <c r="G58" s="9">
        <f t="shared" si="38"/>
        <v>6.108375842045153E-2</v>
      </c>
      <c r="H58" s="9">
        <f t="shared" si="38"/>
        <v>4.4648944169090779E-2</v>
      </c>
      <c r="I58" s="9">
        <f t="shared" si="38"/>
        <v>3.7632540592440283E-2</v>
      </c>
      <c r="J58" s="9">
        <f t="shared" si="38"/>
        <v>2.3914301560126354E-2</v>
      </c>
      <c r="K58" s="9">
        <f t="shared" si="38"/>
        <v>6.9575453602846241E-2</v>
      </c>
      <c r="L58" s="9">
        <f t="shared" si="38"/>
        <v>6.2049931934911803E-2</v>
      </c>
      <c r="M58" s="9">
        <f t="shared" si="38"/>
        <v>8.9634377582582359E-2</v>
      </c>
      <c r="N58" s="9">
        <f t="shared" si="38"/>
        <v>0.26770897954978395</v>
      </c>
      <c r="O58" s="20"/>
      <c r="P58" s="13"/>
    </row>
    <row r="59" spans="1:16" x14ac:dyDescent="0.2">
      <c r="B59" s="16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13"/>
    </row>
    <row r="60" spans="1:16" x14ac:dyDescent="0.2">
      <c r="A60" s="16" t="s">
        <v>71</v>
      </c>
      <c r="B60" s="16" t="s">
        <v>72</v>
      </c>
      <c r="C60" s="20">
        <f>C154+C204+C254</f>
        <v>347652</v>
      </c>
      <c r="D60" s="20">
        <f t="shared" ref="D60:N60" si="39">D154+D204+D254</f>
        <v>53562</v>
      </c>
      <c r="E60" s="20">
        <f t="shared" si="39"/>
        <v>1025960</v>
      </c>
      <c r="F60" s="20">
        <f t="shared" si="39"/>
        <v>793736</v>
      </c>
      <c r="G60" s="20">
        <f t="shared" si="39"/>
        <v>66189</v>
      </c>
      <c r="H60" s="20">
        <f t="shared" si="39"/>
        <v>78959</v>
      </c>
      <c r="I60" s="20">
        <f t="shared" si="39"/>
        <v>88991</v>
      </c>
      <c r="J60" s="20">
        <f t="shared" si="39"/>
        <v>26593</v>
      </c>
      <c r="K60" s="20">
        <f t="shared" si="39"/>
        <v>85752</v>
      </c>
      <c r="L60" s="20">
        <f t="shared" si="39"/>
        <v>49245</v>
      </c>
      <c r="M60" s="20">
        <f t="shared" si="39"/>
        <v>64637</v>
      </c>
      <c r="N60" s="20">
        <f t="shared" si="39"/>
        <v>1430766</v>
      </c>
      <c r="O60" s="20">
        <f>SUM(C60:N60)</f>
        <v>4112042</v>
      </c>
      <c r="P60" s="13">
        <f>O60/O$122</f>
        <v>2.6518191419261358E-2</v>
      </c>
    </row>
    <row r="61" spans="1:16" x14ac:dyDescent="0.2">
      <c r="B61" s="16"/>
      <c r="C61" s="9">
        <f t="shared" ref="C61:N61" si="40">C60/$O60</f>
        <v>8.454485630253776E-2</v>
      </c>
      <c r="D61" s="9">
        <f t="shared" si="40"/>
        <v>1.3025645166075638E-2</v>
      </c>
      <c r="E61" s="9">
        <f t="shared" si="40"/>
        <v>0.24950134264192828</v>
      </c>
      <c r="F61" s="9">
        <f t="shared" si="40"/>
        <v>0.19302721129793907</v>
      </c>
      <c r="G61" s="9">
        <f t="shared" si="40"/>
        <v>1.6096382284033092E-2</v>
      </c>
      <c r="H61" s="9">
        <f t="shared" si="40"/>
        <v>1.9201895311380574E-2</v>
      </c>
      <c r="I61" s="9">
        <f t="shared" si="40"/>
        <v>2.1641559108588872E-2</v>
      </c>
      <c r="J61" s="9">
        <f t="shared" si="40"/>
        <v>6.4671032056579187E-3</v>
      </c>
      <c r="K61" s="9">
        <f t="shared" si="40"/>
        <v>2.0853872601495804E-2</v>
      </c>
      <c r="L61" s="9">
        <f t="shared" si="40"/>
        <v>1.19758018035808E-2</v>
      </c>
      <c r="M61" s="9">
        <f t="shared" si="40"/>
        <v>1.5718954232471362E-2</v>
      </c>
      <c r="N61" s="9">
        <f t="shared" si="40"/>
        <v>0.34794537604431081</v>
      </c>
      <c r="O61" s="20"/>
      <c r="P61" s="13"/>
    </row>
    <row r="62" spans="1:16" x14ac:dyDescent="0.2">
      <c r="B62" s="16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13"/>
    </row>
    <row r="63" spans="1:16" x14ac:dyDescent="0.2">
      <c r="A63" s="16" t="s">
        <v>73</v>
      </c>
      <c r="B63" s="16" t="s">
        <v>74</v>
      </c>
      <c r="C63" s="20">
        <f>C155+C205+C255</f>
        <v>1463726</v>
      </c>
      <c r="D63" s="20">
        <f t="shared" ref="D63:N63" si="41">D155+D205+D255</f>
        <v>259387</v>
      </c>
      <c r="E63" s="20">
        <f t="shared" si="41"/>
        <v>283861</v>
      </c>
      <c r="F63" s="20">
        <f t="shared" si="41"/>
        <v>220884</v>
      </c>
      <c r="G63" s="20">
        <f t="shared" si="41"/>
        <v>223941</v>
      </c>
      <c r="H63" s="20">
        <f t="shared" si="41"/>
        <v>471904</v>
      </c>
      <c r="I63" s="20">
        <f t="shared" si="41"/>
        <v>356523</v>
      </c>
      <c r="J63" s="20">
        <f t="shared" si="41"/>
        <v>167735</v>
      </c>
      <c r="K63" s="20">
        <f t="shared" si="41"/>
        <v>195298</v>
      </c>
      <c r="L63" s="20">
        <f t="shared" si="41"/>
        <v>235343</v>
      </c>
      <c r="M63" s="20">
        <f t="shared" si="41"/>
        <v>190603</v>
      </c>
      <c r="N63" s="20">
        <f t="shared" si="41"/>
        <v>745785</v>
      </c>
      <c r="O63" s="20">
        <f>SUM(C63:N63)</f>
        <v>4814990</v>
      </c>
      <c r="P63" s="13">
        <f>O63/O$122</f>
        <v>3.1051440258107587E-2</v>
      </c>
    </row>
    <row r="64" spans="1:16" x14ac:dyDescent="0.2">
      <c r="B64" s="16"/>
      <c r="C64" s="9">
        <f t="shared" ref="C64:N64" si="42">C63/$O63</f>
        <v>0.30399357008010403</v>
      </c>
      <c r="D64" s="9">
        <f t="shared" si="42"/>
        <v>5.3870724549791381E-2</v>
      </c>
      <c r="E64" s="9">
        <f t="shared" si="42"/>
        <v>5.8953601149742782E-2</v>
      </c>
      <c r="F64" s="9">
        <f t="shared" si="42"/>
        <v>4.5874238575781053E-2</v>
      </c>
      <c r="G64" s="9">
        <f t="shared" si="42"/>
        <v>4.650913086008486E-2</v>
      </c>
      <c r="H64" s="9">
        <f t="shared" si="42"/>
        <v>9.8007264812595668E-2</v>
      </c>
      <c r="I64" s="9">
        <f t="shared" si="42"/>
        <v>7.4044390538713478E-2</v>
      </c>
      <c r="J64" s="9">
        <f t="shared" si="42"/>
        <v>3.4836001736244522E-2</v>
      </c>
      <c r="K64" s="9">
        <f t="shared" si="42"/>
        <v>4.0560416532536933E-2</v>
      </c>
      <c r="L64" s="9">
        <f t="shared" si="42"/>
        <v>4.8877152392839858E-2</v>
      </c>
      <c r="M64" s="9">
        <f t="shared" si="42"/>
        <v>3.9585336625828922E-2</v>
      </c>
      <c r="N64" s="9">
        <f t="shared" si="42"/>
        <v>0.15488817214573655</v>
      </c>
      <c r="O64" s="20"/>
      <c r="P64" s="13"/>
    </row>
    <row r="65" spans="1:16" x14ac:dyDescent="0.2">
      <c r="B65" s="16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20"/>
      <c r="P65" s="13"/>
    </row>
    <row r="66" spans="1:16" x14ac:dyDescent="0.2">
      <c r="A66" s="16" t="s">
        <v>171</v>
      </c>
      <c r="B66" s="16" t="s">
        <v>172</v>
      </c>
      <c r="C66" s="20">
        <f>C156+C206+C256</f>
        <v>28500</v>
      </c>
      <c r="D66" s="20">
        <f t="shared" ref="D66:N66" si="43">D156+D206+D256</f>
        <v>36500</v>
      </c>
      <c r="E66" s="20">
        <f t="shared" si="43"/>
        <v>53719</v>
      </c>
      <c r="F66" s="20">
        <f t="shared" si="43"/>
        <v>117900</v>
      </c>
      <c r="G66" s="20">
        <f t="shared" si="43"/>
        <v>40100</v>
      </c>
      <c r="H66" s="20">
        <f t="shared" si="43"/>
        <v>60200</v>
      </c>
      <c r="I66" s="20">
        <f t="shared" si="43"/>
        <v>64400</v>
      </c>
      <c r="J66" s="20">
        <f t="shared" si="43"/>
        <v>26753</v>
      </c>
      <c r="K66" s="20">
        <f t="shared" si="43"/>
        <v>46500</v>
      </c>
      <c r="L66" s="20">
        <f t="shared" si="43"/>
        <v>11000</v>
      </c>
      <c r="M66" s="20">
        <f t="shared" si="43"/>
        <v>33075</v>
      </c>
      <c r="N66" s="20">
        <f t="shared" si="43"/>
        <v>3500</v>
      </c>
      <c r="O66" s="20">
        <f>SUM(C66:N66)</f>
        <v>522147</v>
      </c>
      <c r="P66" s="13">
        <f>O66/O$122</f>
        <v>3.3672793456372917E-3</v>
      </c>
    </row>
    <row r="67" spans="1:16" x14ac:dyDescent="0.2">
      <c r="B67" s="16"/>
      <c r="C67" s="9">
        <f t="shared" ref="C67:N67" si="44">C66/$O66</f>
        <v>5.4582330263316652E-2</v>
      </c>
      <c r="D67" s="9">
        <f t="shared" si="44"/>
        <v>6.9903686126703779E-2</v>
      </c>
      <c r="E67" s="9">
        <f t="shared" si="44"/>
        <v>0.10288098945316165</v>
      </c>
      <c r="F67" s="9">
        <f t="shared" si="44"/>
        <v>0.22579848203666783</v>
      </c>
      <c r="G67" s="9">
        <f t="shared" si="44"/>
        <v>7.6798296265227994E-2</v>
      </c>
      <c r="H67" s="9">
        <f t="shared" si="44"/>
        <v>0.11529320287198816</v>
      </c>
      <c r="I67" s="9">
        <f t="shared" si="44"/>
        <v>0.12333691470026641</v>
      </c>
      <c r="J67" s="9">
        <f t="shared" si="44"/>
        <v>5.123652917664949E-2</v>
      </c>
      <c r="K67" s="9">
        <f t="shared" si="44"/>
        <v>8.9055380955937694E-2</v>
      </c>
      <c r="L67" s="9">
        <f t="shared" si="44"/>
        <v>2.1066864312157305E-2</v>
      </c>
      <c r="M67" s="9">
        <f t="shared" si="44"/>
        <v>6.3344230647691166E-2</v>
      </c>
      <c r="N67" s="9">
        <f t="shared" si="44"/>
        <v>6.7030931902318696E-3</v>
      </c>
      <c r="O67" s="20"/>
      <c r="P67" s="13"/>
    </row>
    <row r="68" spans="1:16" x14ac:dyDescent="0.2">
      <c r="B68" s="16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13"/>
    </row>
    <row r="69" spans="1:16" x14ac:dyDescent="0.2">
      <c r="A69" s="16">
        <v>44960</v>
      </c>
      <c r="B69" s="16" t="s">
        <v>131</v>
      </c>
      <c r="C69" s="20">
        <f>C157+C207+C257</f>
        <v>54965</v>
      </c>
      <c r="D69" s="20">
        <f t="shared" ref="D69:N69" si="45">D157+D207+D257</f>
        <v>56300</v>
      </c>
      <c r="E69" s="20">
        <f t="shared" si="45"/>
        <v>77125</v>
      </c>
      <c r="F69" s="20">
        <f t="shared" si="45"/>
        <v>77700</v>
      </c>
      <c r="G69" s="20">
        <f t="shared" si="45"/>
        <v>52150</v>
      </c>
      <c r="H69" s="20">
        <f t="shared" si="45"/>
        <v>71784</v>
      </c>
      <c r="I69" s="20">
        <f t="shared" si="45"/>
        <v>45250</v>
      </c>
      <c r="J69" s="20">
        <f t="shared" si="45"/>
        <v>102000</v>
      </c>
      <c r="K69" s="20">
        <f t="shared" si="45"/>
        <v>65100</v>
      </c>
      <c r="L69" s="20">
        <f t="shared" si="45"/>
        <v>67100</v>
      </c>
      <c r="M69" s="20">
        <f t="shared" si="45"/>
        <v>37600</v>
      </c>
      <c r="N69" s="20">
        <f t="shared" si="45"/>
        <v>18000</v>
      </c>
      <c r="O69" s="20">
        <f>SUM(C69:N69)</f>
        <v>725074</v>
      </c>
      <c r="P69" s="13">
        <f>O69/O$122</f>
        <v>4.6759374357386203E-3</v>
      </c>
    </row>
    <row r="70" spans="1:16" x14ac:dyDescent="0.2">
      <c r="B70" s="16"/>
      <c r="C70" s="9">
        <f t="shared" ref="C70:N70" si="46">C69/$O69</f>
        <v>7.5806055657767352E-2</v>
      </c>
      <c r="D70" s="9">
        <f t="shared" si="46"/>
        <v>7.764724703961251E-2</v>
      </c>
      <c r="E70" s="9">
        <f t="shared" si="46"/>
        <v>0.10636845342682265</v>
      </c>
      <c r="F70" s="9">
        <f t="shared" si="46"/>
        <v>0.10716147593211175</v>
      </c>
      <c r="G70" s="9">
        <f t="shared" si="46"/>
        <v>7.1923693305786726E-2</v>
      </c>
      <c r="H70" s="9">
        <f t="shared" si="46"/>
        <v>9.9002308729867566E-2</v>
      </c>
      <c r="I70" s="9">
        <f t="shared" si="46"/>
        <v>6.2407423242317336E-2</v>
      </c>
      <c r="J70" s="9">
        <f t="shared" si="46"/>
        <v>0.14067529659041697</v>
      </c>
      <c r="K70" s="9">
        <f t="shared" si="46"/>
        <v>8.9783939294472009E-2</v>
      </c>
      <c r="L70" s="9">
        <f t="shared" si="46"/>
        <v>9.2542278443303719E-2</v>
      </c>
      <c r="M70" s="9">
        <f t="shared" si="46"/>
        <v>5.1856775998036064E-2</v>
      </c>
      <c r="N70" s="9">
        <f t="shared" si="46"/>
        <v>2.482505233948535E-2</v>
      </c>
      <c r="O70" s="20"/>
      <c r="P70" s="13"/>
    </row>
    <row r="71" spans="1:16" x14ac:dyDescent="0.2">
      <c r="B71" s="16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13"/>
    </row>
    <row r="72" spans="1:16" x14ac:dyDescent="0.2">
      <c r="A72" s="16" t="s">
        <v>75</v>
      </c>
      <c r="B72" s="16" t="s">
        <v>76</v>
      </c>
      <c r="C72" s="20">
        <f>C158+C208+C258</f>
        <v>9822</v>
      </c>
      <c r="D72" s="20">
        <f t="shared" ref="D72:N72" si="47">D158+D208+D258</f>
        <v>21170</v>
      </c>
      <c r="E72" s="20">
        <f t="shared" si="47"/>
        <v>19020</v>
      </c>
      <c r="F72" s="20">
        <f t="shared" si="47"/>
        <v>16793</v>
      </c>
      <c r="G72" s="20">
        <f t="shared" si="47"/>
        <v>18812</v>
      </c>
      <c r="H72" s="20">
        <f t="shared" si="47"/>
        <v>9062</v>
      </c>
      <c r="I72" s="20">
        <f t="shared" si="47"/>
        <v>9725</v>
      </c>
      <c r="J72" s="20">
        <f t="shared" si="47"/>
        <v>10887</v>
      </c>
      <c r="K72" s="20">
        <f t="shared" si="47"/>
        <v>19829</v>
      </c>
      <c r="L72" s="20">
        <f t="shared" si="47"/>
        <v>7422</v>
      </c>
      <c r="M72" s="20">
        <f t="shared" si="47"/>
        <v>17726</v>
      </c>
      <c r="N72" s="20">
        <f t="shared" si="47"/>
        <v>22458</v>
      </c>
      <c r="O72" s="20">
        <f>SUM(C72:N72)</f>
        <v>182726</v>
      </c>
      <c r="P72" s="13">
        <f>O72/O$122</f>
        <v>1.1783836461971816E-3</v>
      </c>
    </row>
    <row r="73" spans="1:16" x14ac:dyDescent="0.2">
      <c r="B73" s="16"/>
      <c r="C73" s="9">
        <f t="shared" ref="C73:N73" si="48">C72/$O72</f>
        <v>5.3752613202281009E-2</v>
      </c>
      <c r="D73" s="9">
        <f t="shared" si="48"/>
        <v>0.11585652835392883</v>
      </c>
      <c r="E73" s="9">
        <f t="shared" si="48"/>
        <v>0.10409027724571215</v>
      </c>
      <c r="F73" s="9">
        <f t="shared" si="48"/>
        <v>9.1902630167573302E-2</v>
      </c>
      <c r="G73" s="9">
        <f t="shared" si="48"/>
        <v>0.10295196085942887</v>
      </c>
      <c r="H73" s="9">
        <f t="shared" si="48"/>
        <v>4.9593380252399767E-2</v>
      </c>
      <c r="I73" s="9">
        <f t="shared" si="48"/>
        <v>5.3221763733677749E-2</v>
      </c>
      <c r="J73" s="9">
        <f t="shared" si="48"/>
        <v>5.9581012007048809E-2</v>
      </c>
      <c r="K73" s="9">
        <f t="shared" si="48"/>
        <v>0.10851767126736206</v>
      </c>
      <c r="L73" s="9">
        <f t="shared" si="48"/>
        <v>4.0618193360550767E-2</v>
      </c>
      <c r="M73" s="9">
        <f t="shared" si="48"/>
        <v>9.700863588104594E-2</v>
      </c>
      <c r="N73" s="9">
        <f t="shared" si="48"/>
        <v>0.12290533366899073</v>
      </c>
      <c r="O73" s="20"/>
      <c r="P73" s="13"/>
    </row>
    <row r="74" spans="1:16" x14ac:dyDescent="0.2">
      <c r="B74" s="16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13"/>
    </row>
    <row r="75" spans="1:16" x14ac:dyDescent="0.2">
      <c r="A75" s="16" t="s">
        <v>77</v>
      </c>
      <c r="B75" s="16" t="s">
        <v>78</v>
      </c>
      <c r="C75" s="20">
        <f>C159+C209+C259</f>
        <v>95319</v>
      </c>
      <c r="D75" s="20">
        <f t="shared" ref="D75:N75" si="49">D159+D209+D259</f>
        <v>159057</v>
      </c>
      <c r="E75" s="20">
        <f t="shared" si="49"/>
        <v>117318</v>
      </c>
      <c r="F75" s="20">
        <f t="shared" si="49"/>
        <v>298859</v>
      </c>
      <c r="G75" s="20">
        <f t="shared" si="49"/>
        <v>133379</v>
      </c>
      <c r="H75" s="20">
        <f t="shared" si="49"/>
        <v>190338</v>
      </c>
      <c r="I75" s="20">
        <f t="shared" si="49"/>
        <v>200172</v>
      </c>
      <c r="J75" s="20">
        <f t="shared" si="49"/>
        <v>43444</v>
      </c>
      <c r="K75" s="20">
        <f t="shared" si="49"/>
        <v>217663</v>
      </c>
      <c r="L75" s="20">
        <f t="shared" si="49"/>
        <v>110414</v>
      </c>
      <c r="M75" s="20">
        <f t="shared" si="49"/>
        <v>237063</v>
      </c>
      <c r="N75" s="20">
        <f t="shared" si="49"/>
        <v>386603</v>
      </c>
      <c r="O75" s="20">
        <f>SUM(C75:N75)</f>
        <v>2189629</v>
      </c>
      <c r="P75" s="13">
        <f>O75/O$122</f>
        <v>1.4120721762853061E-2</v>
      </c>
    </row>
    <row r="76" spans="1:16" x14ac:dyDescent="0.2">
      <c r="B76" s="16"/>
      <c r="C76" s="9">
        <f t="shared" ref="C76:N76" si="50">C75/$O75</f>
        <v>4.3532032138777849E-2</v>
      </c>
      <c r="D76" s="9">
        <f t="shared" si="50"/>
        <v>7.2641072985423563E-2</v>
      </c>
      <c r="E76" s="9">
        <f t="shared" si="50"/>
        <v>5.3578939628585481E-2</v>
      </c>
      <c r="F76" s="9">
        <f t="shared" si="50"/>
        <v>0.13648841881432883</v>
      </c>
      <c r="G76" s="9">
        <f t="shared" si="50"/>
        <v>6.0913972184328945E-2</v>
      </c>
      <c r="H76" s="9">
        <f t="shared" si="50"/>
        <v>8.6927054765898695E-2</v>
      </c>
      <c r="I76" s="9">
        <f t="shared" si="50"/>
        <v>9.1418226558015084E-2</v>
      </c>
      <c r="J76" s="9">
        <f t="shared" si="50"/>
        <v>1.9840804081422012E-2</v>
      </c>
      <c r="K76" s="9">
        <f t="shared" si="50"/>
        <v>9.9406337785990229E-2</v>
      </c>
      <c r="L76" s="9">
        <f t="shared" si="50"/>
        <v>5.0425894066985777E-2</v>
      </c>
      <c r="M76" s="9">
        <f t="shared" si="50"/>
        <v>0.10826628620647608</v>
      </c>
      <c r="N76" s="9">
        <f t="shared" si="50"/>
        <v>0.17656096078376748</v>
      </c>
      <c r="O76" s="20"/>
      <c r="P76" s="13"/>
    </row>
    <row r="77" spans="1:16" x14ac:dyDescent="0.2">
      <c r="B77" s="16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13"/>
    </row>
    <row r="78" spans="1:16" x14ac:dyDescent="0.2">
      <c r="A78" s="16" t="s">
        <v>79</v>
      </c>
      <c r="B78" s="16" t="s">
        <v>80</v>
      </c>
      <c r="C78" s="20">
        <f>C160+C210+C260</f>
        <v>113154</v>
      </c>
      <c r="D78" s="20">
        <f t="shared" ref="D78:N78" si="51">D160+D210+D260</f>
        <v>115460</v>
      </c>
      <c r="E78" s="20">
        <f t="shared" si="51"/>
        <v>83113</v>
      </c>
      <c r="F78" s="20">
        <f t="shared" si="51"/>
        <v>124107</v>
      </c>
      <c r="G78" s="20">
        <f t="shared" si="51"/>
        <v>100679</v>
      </c>
      <c r="H78" s="20">
        <f t="shared" si="51"/>
        <v>71834</v>
      </c>
      <c r="I78" s="20">
        <f t="shared" si="51"/>
        <v>95827</v>
      </c>
      <c r="J78" s="20">
        <f t="shared" si="51"/>
        <v>43865</v>
      </c>
      <c r="K78" s="20">
        <f t="shared" si="51"/>
        <v>82920</v>
      </c>
      <c r="L78" s="20">
        <f t="shared" si="51"/>
        <v>61385</v>
      </c>
      <c r="M78" s="20">
        <f t="shared" si="51"/>
        <v>154454</v>
      </c>
      <c r="N78" s="20">
        <f t="shared" si="51"/>
        <v>76253</v>
      </c>
      <c r="O78" s="20">
        <f>SUM(C78:N78)</f>
        <v>1123051</v>
      </c>
      <c r="P78" s="13">
        <f>O78/O$122</f>
        <v>7.2424555468044551E-3</v>
      </c>
    </row>
    <row r="79" spans="1:16" x14ac:dyDescent="0.2">
      <c r="B79" s="16"/>
      <c r="C79" s="9">
        <f t="shared" ref="C79:N79" si="52">C78/$O78</f>
        <v>0.10075588731054956</v>
      </c>
      <c r="D79" s="9">
        <f t="shared" si="52"/>
        <v>0.10280922237725625</v>
      </c>
      <c r="E79" s="9">
        <f t="shared" si="52"/>
        <v>7.4006434258105824E-2</v>
      </c>
      <c r="F79" s="9">
        <f t="shared" si="52"/>
        <v>0.11050878366165028</v>
      </c>
      <c r="G79" s="9">
        <f t="shared" si="52"/>
        <v>8.9647754198161969E-2</v>
      </c>
      <c r="H79" s="9">
        <f t="shared" si="52"/>
        <v>6.3963257234088217E-2</v>
      </c>
      <c r="I79" s="9">
        <f t="shared" si="52"/>
        <v>8.5327380501865002E-2</v>
      </c>
      <c r="J79" s="9">
        <f t="shared" si="52"/>
        <v>3.9058778274539623E-2</v>
      </c>
      <c r="K79" s="9">
        <f t="shared" si="52"/>
        <v>7.3834580976286923E-2</v>
      </c>
      <c r="L79" s="9">
        <f t="shared" si="52"/>
        <v>5.4659138365043082E-2</v>
      </c>
      <c r="M79" s="9">
        <f t="shared" si="52"/>
        <v>0.13753070875677062</v>
      </c>
      <c r="N79" s="9">
        <f t="shared" si="52"/>
        <v>6.7898074085682658E-2</v>
      </c>
      <c r="O79" s="20"/>
      <c r="P79" s="13"/>
    </row>
    <row r="80" spans="1:16" x14ac:dyDescent="0.2">
      <c r="B80" s="16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13"/>
    </row>
    <row r="81" spans="1:16" x14ac:dyDescent="0.2">
      <c r="A81" s="16" t="s">
        <v>81</v>
      </c>
      <c r="B81" s="16" t="s">
        <v>82</v>
      </c>
      <c r="C81" s="20">
        <f>C161+C211+C261</f>
        <v>2177398</v>
      </c>
      <c r="D81" s="20">
        <f t="shared" ref="D81:N81" si="53">D161+D211+D261</f>
        <v>1960131</v>
      </c>
      <c r="E81" s="20">
        <f t="shared" si="53"/>
        <v>3226121</v>
      </c>
      <c r="F81" s="20">
        <f t="shared" si="53"/>
        <v>3316252</v>
      </c>
      <c r="G81" s="20">
        <f t="shared" si="53"/>
        <v>2183637</v>
      </c>
      <c r="H81" s="20">
        <f t="shared" si="53"/>
        <v>2716729</v>
      </c>
      <c r="I81" s="20">
        <f t="shared" si="53"/>
        <v>2498898</v>
      </c>
      <c r="J81" s="20">
        <f t="shared" si="53"/>
        <v>1439911</v>
      </c>
      <c r="K81" s="20">
        <f t="shared" si="53"/>
        <v>1861141</v>
      </c>
      <c r="L81" s="20">
        <f t="shared" si="53"/>
        <v>2022119</v>
      </c>
      <c r="M81" s="20">
        <f t="shared" si="53"/>
        <v>2625010</v>
      </c>
      <c r="N81" s="20">
        <f t="shared" si="53"/>
        <v>4309943</v>
      </c>
      <c r="O81" s="20">
        <f>SUM(C81:N81)</f>
        <v>30337290</v>
      </c>
      <c r="P81" s="13">
        <f>P128</f>
        <v>3.1398503172511714E-2</v>
      </c>
    </row>
    <row r="82" spans="1:16" x14ac:dyDescent="0.2">
      <c r="B82" s="16"/>
      <c r="C82" s="9">
        <f t="shared" ref="C82:N82" si="54">C81/$O81</f>
        <v>7.1772989611135332E-2</v>
      </c>
      <c r="D82" s="9">
        <f t="shared" si="54"/>
        <v>6.461127543033672E-2</v>
      </c>
      <c r="E82" s="9">
        <f t="shared" si="54"/>
        <v>0.10634176618939925</v>
      </c>
      <c r="F82" s="9">
        <f t="shared" si="54"/>
        <v>0.10931273030649738</v>
      </c>
      <c r="G82" s="9">
        <f t="shared" si="54"/>
        <v>7.1978644104334966E-2</v>
      </c>
      <c r="H82" s="9">
        <f t="shared" si="54"/>
        <v>8.9550813536739771E-2</v>
      </c>
      <c r="I82" s="9">
        <f t="shared" si="54"/>
        <v>8.2370508374347215E-2</v>
      </c>
      <c r="J82" s="9">
        <f t="shared" si="54"/>
        <v>4.7463402301260262E-2</v>
      </c>
      <c r="K82" s="9">
        <f t="shared" si="54"/>
        <v>6.1348294458733792E-2</v>
      </c>
      <c r="L82" s="9">
        <f t="shared" si="54"/>
        <v>6.6654569343537279E-2</v>
      </c>
      <c r="M82" s="9">
        <f t="shared" si="54"/>
        <v>8.6527504599125366E-2</v>
      </c>
      <c r="N82" s="9">
        <f t="shared" si="54"/>
        <v>0.14206750174455265</v>
      </c>
      <c r="O82" s="20"/>
      <c r="P82" s="13"/>
    </row>
    <row r="83" spans="1:16" x14ac:dyDescent="0.2">
      <c r="B83" s="16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13"/>
    </row>
    <row r="84" spans="1:16" x14ac:dyDescent="0.2">
      <c r="A84" s="16" t="s">
        <v>83</v>
      </c>
      <c r="B84" s="16" t="s">
        <v>84</v>
      </c>
      <c r="C84" s="20">
        <f>C162+C212+C262</f>
        <v>2317047</v>
      </c>
      <c r="D84" s="20">
        <f t="shared" ref="D84:N84" si="55">D162+D212+D262</f>
        <v>2907839</v>
      </c>
      <c r="E84" s="20">
        <f t="shared" si="55"/>
        <v>3637106</v>
      </c>
      <c r="F84" s="20">
        <f t="shared" si="55"/>
        <v>4115799</v>
      </c>
      <c r="G84" s="20">
        <f t="shared" si="55"/>
        <v>3599036</v>
      </c>
      <c r="H84" s="20">
        <f t="shared" si="55"/>
        <v>3611526</v>
      </c>
      <c r="I84" s="20">
        <f t="shared" si="55"/>
        <v>4656775</v>
      </c>
      <c r="J84" s="20">
        <f t="shared" si="55"/>
        <v>2814064</v>
      </c>
      <c r="K84" s="20">
        <f t="shared" si="55"/>
        <v>3197570</v>
      </c>
      <c r="L84" s="20">
        <f t="shared" si="55"/>
        <v>3101630</v>
      </c>
      <c r="M84" s="20">
        <f t="shared" si="55"/>
        <v>3959883</v>
      </c>
      <c r="N84" s="20">
        <f t="shared" si="55"/>
        <v>4423183</v>
      </c>
      <c r="O84" s="20">
        <f>SUM(C84:N84)</f>
        <v>42341458</v>
      </c>
      <c r="P84" s="13">
        <f>O84/O$130</f>
        <v>0.85292680194122195</v>
      </c>
    </row>
    <row r="85" spans="1:16" x14ac:dyDescent="0.2">
      <c r="B85" s="16"/>
      <c r="C85" s="9">
        <f t="shared" ref="C85:N85" si="56">C84/$O84</f>
        <v>5.472289121456328E-2</v>
      </c>
      <c r="D85" s="9">
        <f t="shared" si="56"/>
        <v>6.8675929865239876E-2</v>
      </c>
      <c r="E85" s="9">
        <f t="shared" si="56"/>
        <v>8.5899403841974448E-2</v>
      </c>
      <c r="F85" s="9">
        <f t="shared" si="56"/>
        <v>9.7204942730125171E-2</v>
      </c>
      <c r="G85" s="9">
        <f t="shared" si="56"/>
        <v>8.5000285063400516E-2</v>
      </c>
      <c r="H85" s="9">
        <f t="shared" si="56"/>
        <v>8.5295267820016965E-2</v>
      </c>
      <c r="I85" s="9">
        <f t="shared" si="56"/>
        <v>0.10998145127642983</v>
      </c>
      <c r="J85" s="9">
        <f t="shared" si="56"/>
        <v>6.6461197439162345E-2</v>
      </c>
      <c r="K85" s="9">
        <f t="shared" si="56"/>
        <v>7.5518655970703702E-2</v>
      </c>
      <c r="L85" s="9">
        <f t="shared" si="56"/>
        <v>7.3252791625645006E-2</v>
      </c>
      <c r="M85" s="9">
        <f t="shared" si="56"/>
        <v>9.3522594332958495E-2</v>
      </c>
      <c r="N85" s="9">
        <f t="shared" si="56"/>
        <v>0.10446458881978037</v>
      </c>
      <c r="O85" s="20"/>
      <c r="P85" s="13"/>
    </row>
    <row r="86" spans="1:16" x14ac:dyDescent="0.2">
      <c r="B86" s="16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13"/>
    </row>
    <row r="87" spans="1:16" x14ac:dyDescent="0.2">
      <c r="A87" s="16" t="s">
        <v>85</v>
      </c>
      <c r="B87" s="16" t="s">
        <v>86</v>
      </c>
      <c r="C87" s="20">
        <f>C163+C213+C263</f>
        <v>15794</v>
      </c>
      <c r="D87" s="20">
        <f t="shared" ref="D87:N87" si="57">D163+D213+D263</f>
        <v>525</v>
      </c>
      <c r="E87" s="20">
        <f t="shared" si="57"/>
        <v>10226</v>
      </c>
      <c r="F87" s="20">
        <f t="shared" si="57"/>
        <v>15023</v>
      </c>
      <c r="G87" s="20">
        <f t="shared" si="57"/>
        <v>96</v>
      </c>
      <c r="H87" s="20">
        <f t="shared" si="57"/>
        <v>3392</v>
      </c>
      <c r="I87" s="20">
        <f t="shared" si="57"/>
        <v>5898</v>
      </c>
      <c r="J87" s="20">
        <f t="shared" si="57"/>
        <v>16780</v>
      </c>
      <c r="K87" s="20">
        <f t="shared" si="57"/>
        <v>-685</v>
      </c>
      <c r="L87" s="20">
        <f t="shared" si="57"/>
        <v>-9627</v>
      </c>
      <c r="M87" s="20">
        <f t="shared" si="57"/>
        <v>100</v>
      </c>
      <c r="N87" s="20">
        <f t="shared" si="57"/>
        <v>10903</v>
      </c>
      <c r="O87" s="20">
        <f>SUM(C87:N87)</f>
        <v>68425</v>
      </c>
      <c r="P87" s="13">
        <f>O87/O$122</f>
        <v>4.4126671076388774E-4</v>
      </c>
    </row>
    <row r="88" spans="1:16" x14ac:dyDescent="0.2">
      <c r="B88" s="16"/>
      <c r="C88" s="9">
        <f t="shared" ref="C88:N88" si="58">C87/$O87</f>
        <v>0.23082206795761784</v>
      </c>
      <c r="D88" s="9">
        <f t="shared" si="58"/>
        <v>7.6726342710997444E-3</v>
      </c>
      <c r="E88" s="9">
        <f t="shared" si="58"/>
        <v>0.14944830105955426</v>
      </c>
      <c r="F88" s="9">
        <f t="shared" si="58"/>
        <v>0.21955425648520277</v>
      </c>
      <c r="G88" s="9">
        <f t="shared" si="58"/>
        <v>1.4029959810010961E-3</v>
      </c>
      <c r="H88" s="9">
        <f t="shared" si="58"/>
        <v>4.9572524662038729E-2</v>
      </c>
      <c r="I88" s="9">
        <f t="shared" si="58"/>
        <v>8.6196565582754847E-2</v>
      </c>
      <c r="J88" s="9">
        <f t="shared" si="58"/>
        <v>0.24523200584581659</v>
      </c>
      <c r="K88" s="9">
        <f t="shared" si="58"/>
        <v>-1.0010960906101572E-2</v>
      </c>
      <c r="L88" s="9">
        <f t="shared" si="58"/>
        <v>-0.14069419071976616</v>
      </c>
      <c r="M88" s="9">
        <f t="shared" si="58"/>
        <v>1.4614541468761417E-3</v>
      </c>
      <c r="N88" s="9">
        <f t="shared" si="58"/>
        <v>0.15934234563390573</v>
      </c>
      <c r="O88" s="20"/>
      <c r="P88" s="13"/>
    </row>
    <row r="89" spans="1:16" x14ac:dyDescent="0.2">
      <c r="B89" s="16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13"/>
    </row>
    <row r="90" spans="1:16" x14ac:dyDescent="0.2">
      <c r="A90" s="16" t="s">
        <v>87</v>
      </c>
      <c r="B90" s="16" t="s">
        <v>88</v>
      </c>
      <c r="C90" s="20">
        <f>C164+C214+C264</f>
        <v>914</v>
      </c>
      <c r="D90" s="20">
        <f t="shared" ref="D90:N90" si="59">D164+D214+D264</f>
        <v>-5396</v>
      </c>
      <c r="E90" s="20">
        <f t="shared" si="59"/>
        <v>16436</v>
      </c>
      <c r="F90" s="20">
        <f t="shared" si="59"/>
        <v>-52759</v>
      </c>
      <c r="G90" s="20">
        <f t="shared" si="59"/>
        <v>132</v>
      </c>
      <c r="H90" s="20">
        <f t="shared" si="59"/>
        <v>20861</v>
      </c>
      <c r="I90" s="20">
        <f t="shared" si="59"/>
        <v>-17642</v>
      </c>
      <c r="J90" s="20">
        <f t="shared" si="59"/>
        <v>-7333</v>
      </c>
      <c r="K90" s="20">
        <f t="shared" si="59"/>
        <v>182</v>
      </c>
      <c r="L90" s="20">
        <f t="shared" si="59"/>
        <v>3271</v>
      </c>
      <c r="M90" s="20">
        <f t="shared" si="59"/>
        <v>-737</v>
      </c>
      <c r="N90" s="20">
        <f t="shared" si="59"/>
        <v>46092</v>
      </c>
      <c r="O90" s="20">
        <f>SUM(C90:N90)</f>
        <v>4021</v>
      </c>
      <c r="P90" s="13">
        <f>O90/O$122</f>
        <v>2.5931069696479246E-5</v>
      </c>
    </row>
    <row r="91" spans="1:16" x14ac:dyDescent="0.2">
      <c r="B91" s="16"/>
      <c r="C91" s="9">
        <f t="shared" ref="C91:N91" si="60">C90/$O90</f>
        <v>0.22730664013926885</v>
      </c>
      <c r="D91" s="9">
        <f t="shared" si="60"/>
        <v>-1.3419547376274559</v>
      </c>
      <c r="E91" s="9">
        <f t="shared" si="60"/>
        <v>4.0875404128326283</v>
      </c>
      <c r="F91" s="9">
        <f t="shared" si="60"/>
        <v>-13.12086545635414</v>
      </c>
      <c r="G91" s="9">
        <f t="shared" si="60"/>
        <v>3.2827654812235763E-2</v>
      </c>
      <c r="H91" s="9">
        <f t="shared" si="60"/>
        <v>5.1880129321064414</v>
      </c>
      <c r="I91" s="9">
        <f t="shared" si="60"/>
        <v>-4.3874658045262374</v>
      </c>
      <c r="J91" s="9">
        <f t="shared" si="60"/>
        <v>-1.8236757025615518</v>
      </c>
      <c r="K91" s="9">
        <f t="shared" si="60"/>
        <v>4.5262372544143246E-2</v>
      </c>
      <c r="L91" s="9">
        <f t="shared" si="60"/>
        <v>0.81347923402138766</v>
      </c>
      <c r="M91" s="9">
        <f t="shared" si="60"/>
        <v>-0.18328773936831633</v>
      </c>
      <c r="N91" s="9">
        <f t="shared" si="60"/>
        <v>11.462820193981596</v>
      </c>
      <c r="O91" s="20"/>
      <c r="P91" s="13"/>
    </row>
    <row r="92" spans="1:16" x14ac:dyDescent="0.2">
      <c r="B92" s="16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13"/>
    </row>
    <row r="93" spans="1:16" x14ac:dyDescent="0.2">
      <c r="A93" s="16" t="s">
        <v>89</v>
      </c>
      <c r="B93" s="16" t="s">
        <v>90</v>
      </c>
      <c r="C93" s="20">
        <f>C165+C215+C265</f>
        <v>61504</v>
      </c>
      <c r="D93" s="20">
        <f t="shared" ref="D93:N93" si="61">D165+D215+D265</f>
        <v>162153</v>
      </c>
      <c r="E93" s="20">
        <f t="shared" si="61"/>
        <v>122482</v>
      </c>
      <c r="F93" s="20">
        <f t="shared" si="61"/>
        <v>264284</v>
      </c>
      <c r="G93" s="20">
        <f t="shared" si="61"/>
        <v>360877</v>
      </c>
      <c r="H93" s="20">
        <f t="shared" si="61"/>
        <v>507284</v>
      </c>
      <c r="I93" s="20">
        <f t="shared" si="61"/>
        <v>119566</v>
      </c>
      <c r="J93" s="20">
        <f t="shared" si="61"/>
        <v>61196</v>
      </c>
      <c r="K93" s="20">
        <f t="shared" si="61"/>
        <v>88264</v>
      </c>
      <c r="L93" s="20">
        <f t="shared" si="61"/>
        <v>49721</v>
      </c>
      <c r="M93" s="20">
        <f t="shared" si="61"/>
        <v>675232</v>
      </c>
      <c r="N93" s="20">
        <f t="shared" si="61"/>
        <v>112122</v>
      </c>
      <c r="O93" s="20">
        <f>SUM(C93:N93)</f>
        <v>2584685</v>
      </c>
      <c r="P93" s="13">
        <f>O93/O$122</f>
        <v>1.6668402605929982E-2</v>
      </c>
    </row>
    <row r="94" spans="1:16" x14ac:dyDescent="0.2">
      <c r="B94" s="16"/>
      <c r="C94" s="9">
        <f t="shared" ref="C94:N94" si="62">C93/$O93</f>
        <v>2.3795549554394443E-2</v>
      </c>
      <c r="D94" s="9">
        <f t="shared" si="62"/>
        <v>6.2736078090753808E-2</v>
      </c>
      <c r="E94" s="9">
        <f t="shared" si="62"/>
        <v>4.7387592685375589E-2</v>
      </c>
      <c r="F94" s="9">
        <f t="shared" si="62"/>
        <v>0.10224998404060844</v>
      </c>
      <c r="G94" s="9">
        <f t="shared" si="62"/>
        <v>0.13962126912950706</v>
      </c>
      <c r="H94" s="9">
        <f t="shared" si="62"/>
        <v>0.19626530892545901</v>
      </c>
      <c r="I94" s="9">
        <f t="shared" si="62"/>
        <v>4.6259408786757383E-2</v>
      </c>
      <c r="J94" s="9">
        <f t="shared" si="62"/>
        <v>2.3676386097338749E-2</v>
      </c>
      <c r="K94" s="9">
        <f t="shared" si="62"/>
        <v>3.4148842121960704E-2</v>
      </c>
      <c r="L94" s="9">
        <f t="shared" si="62"/>
        <v>1.9236773533331916E-2</v>
      </c>
      <c r="M94" s="9">
        <f t="shared" si="62"/>
        <v>0.26124343972282887</v>
      </c>
      <c r="N94" s="9">
        <f t="shared" si="62"/>
        <v>4.3379367311684014E-2</v>
      </c>
      <c r="O94" s="20"/>
      <c r="P94" s="13"/>
    </row>
    <row r="95" spans="1:16" x14ac:dyDescent="0.2">
      <c r="B95" s="16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13"/>
    </row>
    <row r="96" spans="1:16" x14ac:dyDescent="0.2">
      <c r="A96" s="16" t="s">
        <v>91</v>
      </c>
      <c r="B96" s="16" t="s">
        <v>92</v>
      </c>
      <c r="C96" s="20">
        <f>C166+C216+C266</f>
        <v>0</v>
      </c>
      <c r="D96" s="20">
        <f t="shared" ref="D96:N96" si="63">D166+D216+D266</f>
        <v>0</v>
      </c>
      <c r="E96" s="20">
        <f t="shared" si="63"/>
        <v>0</v>
      </c>
      <c r="F96" s="20">
        <f t="shared" si="63"/>
        <v>0</v>
      </c>
      <c r="G96" s="20">
        <f t="shared" si="63"/>
        <v>0</v>
      </c>
      <c r="H96" s="20">
        <f t="shared" si="63"/>
        <v>0</v>
      </c>
      <c r="I96" s="20">
        <f t="shared" si="63"/>
        <v>0</v>
      </c>
      <c r="J96" s="20">
        <f t="shared" si="63"/>
        <v>0</v>
      </c>
      <c r="K96" s="20">
        <f t="shared" si="63"/>
        <v>0</v>
      </c>
      <c r="L96" s="20">
        <f t="shared" si="63"/>
        <v>0</v>
      </c>
      <c r="M96" s="20">
        <f t="shared" si="63"/>
        <v>0</v>
      </c>
      <c r="N96" s="20">
        <f t="shared" si="63"/>
        <v>0</v>
      </c>
      <c r="O96" s="20">
        <f>SUM(C96:N96)</f>
        <v>0</v>
      </c>
      <c r="P96" s="13">
        <f>O96/O$122</f>
        <v>0</v>
      </c>
    </row>
    <row r="97" spans="1:16" x14ac:dyDescent="0.2">
      <c r="B97" s="16"/>
      <c r="C97" s="9" t="e">
        <f t="shared" ref="C97:N97" si="64">C96/$O96</f>
        <v>#DIV/0!</v>
      </c>
      <c r="D97" s="9" t="e">
        <f t="shared" si="64"/>
        <v>#DIV/0!</v>
      </c>
      <c r="E97" s="9" t="e">
        <f t="shared" si="64"/>
        <v>#DIV/0!</v>
      </c>
      <c r="F97" s="9" t="e">
        <f t="shared" si="64"/>
        <v>#DIV/0!</v>
      </c>
      <c r="G97" s="9" t="e">
        <f t="shared" si="64"/>
        <v>#DIV/0!</v>
      </c>
      <c r="H97" s="9" t="e">
        <f t="shared" si="64"/>
        <v>#DIV/0!</v>
      </c>
      <c r="I97" s="9" t="e">
        <f t="shared" si="64"/>
        <v>#DIV/0!</v>
      </c>
      <c r="J97" s="9" t="e">
        <f t="shared" si="64"/>
        <v>#DIV/0!</v>
      </c>
      <c r="K97" s="9" t="e">
        <f t="shared" si="64"/>
        <v>#DIV/0!</v>
      </c>
      <c r="L97" s="9" t="e">
        <f t="shared" si="64"/>
        <v>#DIV/0!</v>
      </c>
      <c r="M97" s="9" t="e">
        <f t="shared" si="64"/>
        <v>#DIV/0!</v>
      </c>
      <c r="N97" s="9" t="e">
        <f t="shared" si="64"/>
        <v>#DIV/0!</v>
      </c>
      <c r="O97" s="20"/>
      <c r="P97" s="13"/>
    </row>
    <row r="98" spans="1:16" x14ac:dyDescent="0.2">
      <c r="B98" s="16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13"/>
    </row>
    <row r="99" spans="1:16" x14ac:dyDescent="0.2">
      <c r="A99" s="16" t="s">
        <v>93</v>
      </c>
      <c r="B99" s="16" t="s">
        <v>94</v>
      </c>
      <c r="C99" s="20">
        <f>C167+C217+C267</f>
        <v>2398</v>
      </c>
      <c r="D99" s="20">
        <f t="shared" ref="D99:N99" si="65">D167+D217+D267</f>
        <v>-7393</v>
      </c>
      <c r="E99" s="20">
        <f t="shared" si="65"/>
        <v>-6</v>
      </c>
      <c r="F99" s="20">
        <f t="shared" si="65"/>
        <v>0</v>
      </c>
      <c r="G99" s="20">
        <f t="shared" si="65"/>
        <v>0</v>
      </c>
      <c r="H99" s="20">
        <f t="shared" si="65"/>
        <v>-7307</v>
      </c>
      <c r="I99" s="20">
        <f t="shared" si="65"/>
        <v>1265</v>
      </c>
      <c r="J99" s="20">
        <f t="shared" si="65"/>
        <v>6874</v>
      </c>
      <c r="K99" s="20">
        <f t="shared" si="65"/>
        <v>-10430</v>
      </c>
      <c r="L99" s="20">
        <f t="shared" si="65"/>
        <v>173</v>
      </c>
      <c r="M99" s="20">
        <f t="shared" si="65"/>
        <v>102</v>
      </c>
      <c r="N99" s="20">
        <f t="shared" si="65"/>
        <v>-129</v>
      </c>
      <c r="O99" s="20">
        <f>SUM(C99:N99)</f>
        <v>-14453</v>
      </c>
      <c r="P99" s="13">
        <f>O99/O$122</f>
        <v>-9.3206105526788007E-5</v>
      </c>
    </row>
    <row r="100" spans="1:16" x14ac:dyDescent="0.2">
      <c r="B100" s="16"/>
      <c r="C100" s="9">
        <f t="shared" ref="C100:N100" si="66">C99/$O99</f>
        <v>-0.16591711063447034</v>
      </c>
      <c r="D100" s="9">
        <f t="shared" si="66"/>
        <v>0.51152009963329415</v>
      </c>
      <c r="E100" s="9">
        <f t="shared" si="66"/>
        <v>4.1513872552411264E-4</v>
      </c>
      <c r="F100" s="9">
        <f t="shared" si="66"/>
        <v>0</v>
      </c>
      <c r="G100" s="9">
        <f t="shared" si="66"/>
        <v>0</v>
      </c>
      <c r="H100" s="9">
        <f t="shared" si="66"/>
        <v>0.50556977790078184</v>
      </c>
      <c r="I100" s="9">
        <f t="shared" si="66"/>
        <v>-8.7525081298000421E-2</v>
      </c>
      <c r="J100" s="9">
        <f t="shared" si="66"/>
        <v>-0.4756105998754584</v>
      </c>
      <c r="K100" s="9">
        <f t="shared" si="66"/>
        <v>0.72164948453608246</v>
      </c>
      <c r="L100" s="9">
        <f t="shared" si="66"/>
        <v>-1.1969833252611915E-2</v>
      </c>
      <c r="M100" s="9">
        <f t="shared" si="66"/>
        <v>-7.057358333909915E-3</v>
      </c>
      <c r="N100" s="9">
        <f t="shared" si="66"/>
        <v>8.9254825987684222E-3</v>
      </c>
      <c r="O100" s="20"/>
      <c r="P100" s="13"/>
    </row>
    <row r="101" spans="1:16" x14ac:dyDescent="0.2">
      <c r="B101" s="16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13"/>
    </row>
    <row r="102" spans="1:16" x14ac:dyDescent="0.2">
      <c r="A102" s="16" t="s">
        <v>180</v>
      </c>
      <c r="B102" s="16" t="s">
        <v>174</v>
      </c>
      <c r="C102" s="20">
        <f>C168+C218+C268</f>
        <v>0</v>
      </c>
      <c r="D102" s="20">
        <f t="shared" ref="D102:N102" si="67">D168+D218+D268</f>
        <v>0</v>
      </c>
      <c r="E102" s="20">
        <f t="shared" si="67"/>
        <v>0</v>
      </c>
      <c r="F102" s="20">
        <f t="shared" si="67"/>
        <v>137942</v>
      </c>
      <c r="G102" s="20">
        <f t="shared" si="67"/>
        <v>0</v>
      </c>
      <c r="H102" s="20">
        <f t="shared" si="67"/>
        <v>0</v>
      </c>
      <c r="I102" s="20">
        <f t="shared" si="67"/>
        <v>0</v>
      </c>
      <c r="J102" s="20">
        <f t="shared" si="67"/>
        <v>-8158</v>
      </c>
      <c r="K102" s="20">
        <f t="shared" si="67"/>
        <v>0</v>
      </c>
      <c r="L102" s="20">
        <f t="shared" si="67"/>
        <v>0</v>
      </c>
      <c r="M102" s="20">
        <f t="shared" si="67"/>
        <v>0</v>
      </c>
      <c r="N102" s="20">
        <f t="shared" si="67"/>
        <v>0</v>
      </c>
      <c r="O102" s="20">
        <f>SUM(C102:N102)</f>
        <v>129784</v>
      </c>
      <c r="P102" s="13">
        <f>O102/O$122</f>
        <v>8.3696541892262191E-4</v>
      </c>
    </row>
    <row r="103" spans="1:16" x14ac:dyDescent="0.2">
      <c r="C103" s="9">
        <f t="shared" ref="C103:N103" si="68">C102/$O102</f>
        <v>0</v>
      </c>
      <c r="D103" s="9">
        <f t="shared" si="68"/>
        <v>0</v>
      </c>
      <c r="E103" s="9">
        <f t="shared" si="68"/>
        <v>0</v>
      </c>
      <c r="F103" s="9">
        <f t="shared" si="68"/>
        <v>1.0628582876163473</v>
      </c>
      <c r="G103" s="9">
        <f t="shared" si="68"/>
        <v>0</v>
      </c>
      <c r="H103" s="9">
        <f t="shared" si="68"/>
        <v>0</v>
      </c>
      <c r="I103" s="9">
        <f t="shared" si="68"/>
        <v>0</v>
      </c>
      <c r="J103" s="9">
        <f t="shared" si="68"/>
        <v>-6.2858287616347167E-2</v>
      </c>
      <c r="K103" s="9">
        <f t="shared" si="68"/>
        <v>0</v>
      </c>
      <c r="L103" s="9">
        <f t="shared" si="68"/>
        <v>0</v>
      </c>
      <c r="M103" s="9">
        <f t="shared" si="68"/>
        <v>0</v>
      </c>
      <c r="N103" s="9">
        <f t="shared" si="68"/>
        <v>0</v>
      </c>
    </row>
    <row r="105" spans="1:16" x14ac:dyDescent="0.2">
      <c r="A105" s="16" t="s">
        <v>95</v>
      </c>
      <c r="B105" s="16" t="s">
        <v>96</v>
      </c>
      <c r="C105" s="20">
        <f>C169+C219+C269</f>
        <v>0</v>
      </c>
      <c r="D105" s="20">
        <f t="shared" ref="D105:N105" si="69">D219+D269+D319</f>
        <v>0</v>
      </c>
      <c r="E105" s="20">
        <f t="shared" si="69"/>
        <v>0</v>
      </c>
      <c r="F105" s="20">
        <f t="shared" si="69"/>
        <v>17951</v>
      </c>
      <c r="G105" s="20">
        <f t="shared" si="69"/>
        <v>18378</v>
      </c>
      <c r="H105" s="20">
        <f t="shared" si="69"/>
        <v>0</v>
      </c>
      <c r="I105" s="20">
        <f t="shared" si="69"/>
        <v>-28171</v>
      </c>
      <c r="J105" s="20">
        <f t="shared" si="69"/>
        <v>0</v>
      </c>
      <c r="K105" s="20">
        <f t="shared" si="69"/>
        <v>0</v>
      </c>
      <c r="L105" s="20">
        <f t="shared" si="69"/>
        <v>0</v>
      </c>
      <c r="M105" s="20">
        <f t="shared" si="69"/>
        <v>0</v>
      </c>
      <c r="N105" s="20">
        <f t="shared" si="69"/>
        <v>0</v>
      </c>
      <c r="O105" s="20">
        <f>SUM(C105:N105)</f>
        <v>8158</v>
      </c>
      <c r="P105" s="13">
        <f>O105/O$122</f>
        <v>5.2610213027574658E-5</v>
      </c>
    </row>
    <row r="106" spans="1:16" x14ac:dyDescent="0.2">
      <c r="B106" s="16"/>
      <c r="C106" s="9">
        <f t="shared" ref="C106:N106" si="70">C105/$O105</f>
        <v>0</v>
      </c>
      <c r="D106" s="9">
        <f t="shared" si="70"/>
        <v>0</v>
      </c>
      <c r="E106" s="9">
        <f t="shared" si="70"/>
        <v>0</v>
      </c>
      <c r="F106" s="9">
        <f t="shared" si="70"/>
        <v>2.2004167688158862</v>
      </c>
      <c r="G106" s="9">
        <f t="shared" si="70"/>
        <v>2.2527580289286591</v>
      </c>
      <c r="H106" s="9">
        <f t="shared" si="70"/>
        <v>0</v>
      </c>
      <c r="I106" s="9">
        <f t="shared" si="70"/>
        <v>-3.4531747977445453</v>
      </c>
      <c r="J106" s="9">
        <f t="shared" si="70"/>
        <v>0</v>
      </c>
      <c r="K106" s="9">
        <f t="shared" si="70"/>
        <v>0</v>
      </c>
      <c r="L106" s="9">
        <f t="shared" si="70"/>
        <v>0</v>
      </c>
      <c r="M106" s="9">
        <f t="shared" si="70"/>
        <v>0</v>
      </c>
      <c r="N106" s="9">
        <f t="shared" si="70"/>
        <v>0</v>
      </c>
      <c r="O106" s="20"/>
      <c r="P106" s="13"/>
    </row>
    <row r="107" spans="1:16" x14ac:dyDescent="0.2">
      <c r="B107" s="16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13"/>
    </row>
    <row r="108" spans="1:16" x14ac:dyDescent="0.2">
      <c r="A108" s="16" t="s">
        <v>97</v>
      </c>
      <c r="B108" s="16" t="s">
        <v>98</v>
      </c>
      <c r="C108" s="20">
        <f>C170+C220+C270</f>
        <v>0</v>
      </c>
      <c r="D108" s="20">
        <f t="shared" ref="D108:N108" si="71">D220+D270+D320</f>
        <v>0</v>
      </c>
      <c r="E108" s="20">
        <f t="shared" si="71"/>
        <v>0</v>
      </c>
      <c r="F108" s="20">
        <f t="shared" si="71"/>
        <v>0</v>
      </c>
      <c r="G108" s="20">
        <f t="shared" si="71"/>
        <v>0</v>
      </c>
      <c r="H108" s="20">
        <f t="shared" si="71"/>
        <v>0</v>
      </c>
      <c r="I108" s="20">
        <f t="shared" si="71"/>
        <v>0</v>
      </c>
      <c r="J108" s="20">
        <f t="shared" si="71"/>
        <v>0</v>
      </c>
      <c r="K108" s="20">
        <f t="shared" si="71"/>
        <v>0</v>
      </c>
      <c r="L108" s="20">
        <f t="shared" si="71"/>
        <v>0</v>
      </c>
      <c r="M108" s="20">
        <f t="shared" si="71"/>
        <v>0</v>
      </c>
      <c r="N108" s="20">
        <f t="shared" si="71"/>
        <v>0</v>
      </c>
      <c r="O108" s="20">
        <f>SUM(C108:N108)</f>
        <v>0</v>
      </c>
      <c r="P108" s="13">
        <f>O108/O$122</f>
        <v>0</v>
      </c>
    </row>
    <row r="109" spans="1:16" x14ac:dyDescent="0.2">
      <c r="B109" s="16"/>
      <c r="C109" s="9" t="e">
        <f t="shared" ref="C109:N109" si="72">C108/$O108</f>
        <v>#DIV/0!</v>
      </c>
      <c r="D109" s="9" t="e">
        <f t="shared" si="72"/>
        <v>#DIV/0!</v>
      </c>
      <c r="E109" s="9" t="e">
        <f t="shared" si="72"/>
        <v>#DIV/0!</v>
      </c>
      <c r="F109" s="9" t="e">
        <f t="shared" si="72"/>
        <v>#DIV/0!</v>
      </c>
      <c r="G109" s="9" t="e">
        <f t="shared" si="72"/>
        <v>#DIV/0!</v>
      </c>
      <c r="H109" s="9" t="e">
        <f t="shared" si="72"/>
        <v>#DIV/0!</v>
      </c>
      <c r="I109" s="9" t="e">
        <f t="shared" si="72"/>
        <v>#DIV/0!</v>
      </c>
      <c r="J109" s="9" t="e">
        <f t="shared" si="72"/>
        <v>#DIV/0!</v>
      </c>
      <c r="K109" s="9" t="e">
        <f t="shared" si="72"/>
        <v>#DIV/0!</v>
      </c>
      <c r="L109" s="9" t="e">
        <f t="shared" si="72"/>
        <v>#DIV/0!</v>
      </c>
      <c r="M109" s="9" t="e">
        <f t="shared" si="72"/>
        <v>#DIV/0!</v>
      </c>
      <c r="N109" s="9" t="e">
        <f t="shared" si="72"/>
        <v>#DIV/0!</v>
      </c>
      <c r="O109" s="20"/>
      <c r="P109" s="13"/>
    </row>
    <row r="110" spans="1:16" x14ac:dyDescent="0.2">
      <c r="B110" s="16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13"/>
    </row>
    <row r="111" spans="1:16" x14ac:dyDescent="0.2">
      <c r="A111" s="16" t="s">
        <v>133</v>
      </c>
      <c r="B111" s="16" t="s">
        <v>132</v>
      </c>
      <c r="C111" s="20">
        <f>C171+C221+C271</f>
        <v>28074</v>
      </c>
      <c r="D111" s="20">
        <f t="shared" ref="D111:N111" si="73">D221+D271+D321</f>
        <v>41291</v>
      </c>
      <c r="E111" s="20">
        <f t="shared" si="73"/>
        <v>0</v>
      </c>
      <c r="F111" s="20">
        <f t="shared" si="73"/>
        <v>5800</v>
      </c>
      <c r="G111" s="20">
        <f t="shared" si="73"/>
        <v>16152</v>
      </c>
      <c r="H111" s="20">
        <f t="shared" si="73"/>
        <v>10163</v>
      </c>
      <c r="I111" s="20">
        <f t="shared" si="73"/>
        <v>9523</v>
      </c>
      <c r="J111" s="20">
        <f t="shared" si="73"/>
        <v>14410</v>
      </c>
      <c r="K111" s="20">
        <f t="shared" si="73"/>
        <v>7377</v>
      </c>
      <c r="L111" s="20">
        <f t="shared" si="73"/>
        <v>5665</v>
      </c>
      <c r="M111" s="20">
        <f t="shared" si="73"/>
        <v>47590</v>
      </c>
      <c r="N111" s="20">
        <f t="shared" si="73"/>
        <v>84953</v>
      </c>
      <c r="O111" s="20">
        <f>SUM(C111:N111)</f>
        <v>270998</v>
      </c>
      <c r="P111" s="13">
        <f>O111/O$122</f>
        <v>1.7476418864975089E-3</v>
      </c>
    </row>
    <row r="112" spans="1:16" x14ac:dyDescent="0.2">
      <c r="B112" s="16"/>
      <c r="C112" s="9">
        <f t="shared" ref="C112:N112" si="74">C111/$O111</f>
        <v>0.10359486047867512</v>
      </c>
      <c r="D112" s="9">
        <f t="shared" si="74"/>
        <v>0.15236643812869469</v>
      </c>
      <c r="E112" s="9">
        <f t="shared" si="74"/>
        <v>0</v>
      </c>
      <c r="F112" s="9">
        <f t="shared" si="74"/>
        <v>2.1402371973224893E-2</v>
      </c>
      <c r="G112" s="9">
        <f t="shared" si="74"/>
        <v>5.9601915881298019E-2</v>
      </c>
      <c r="H112" s="9">
        <f t="shared" si="74"/>
        <v>3.7502121786876653E-2</v>
      </c>
      <c r="I112" s="9">
        <f t="shared" si="74"/>
        <v>3.5140480741555291E-2</v>
      </c>
      <c r="J112" s="9">
        <f t="shared" si="74"/>
        <v>5.3173824161063921E-2</v>
      </c>
      <c r="K112" s="9">
        <f t="shared" si="74"/>
        <v>2.7221603111462076E-2</v>
      </c>
      <c r="L112" s="9">
        <f t="shared" si="74"/>
        <v>2.0904213315227418E-2</v>
      </c>
      <c r="M112" s="9">
        <f t="shared" si="74"/>
        <v>0.17561015210444358</v>
      </c>
      <c r="N112" s="9">
        <f t="shared" si="74"/>
        <v>0.31348201831747835</v>
      </c>
      <c r="O112" s="20"/>
      <c r="P112" s="13"/>
    </row>
    <row r="113" spans="1:17" x14ac:dyDescent="0.2">
      <c r="B113" s="16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13"/>
    </row>
    <row r="114" spans="1:17" x14ac:dyDescent="0.2">
      <c r="A114" s="16" t="s">
        <v>99</v>
      </c>
      <c r="B114" s="16" t="s">
        <v>100</v>
      </c>
      <c r="C114" s="20">
        <f>C172+C222+C272</f>
        <v>14250</v>
      </c>
      <c r="D114" s="20">
        <f t="shared" ref="D114:N114" si="75">D222+D272+D322</f>
        <v>13411</v>
      </c>
      <c r="E114" s="20">
        <f t="shared" si="75"/>
        <v>0</v>
      </c>
      <c r="F114" s="20">
        <f t="shared" si="75"/>
        <v>28525</v>
      </c>
      <c r="G114" s="20">
        <f t="shared" si="75"/>
        <v>0</v>
      </c>
      <c r="H114" s="20">
        <f t="shared" si="75"/>
        <v>0</v>
      </c>
      <c r="I114" s="20">
        <f t="shared" si="75"/>
        <v>14250</v>
      </c>
      <c r="J114" s="20">
        <f t="shared" si="75"/>
        <v>14250</v>
      </c>
      <c r="K114" s="20">
        <f t="shared" si="75"/>
        <v>0</v>
      </c>
      <c r="L114" s="20">
        <f t="shared" si="75"/>
        <v>28500</v>
      </c>
      <c r="M114" s="20">
        <f t="shared" si="75"/>
        <v>0</v>
      </c>
      <c r="N114" s="20">
        <f t="shared" si="75"/>
        <v>14366</v>
      </c>
      <c r="O114" s="20">
        <f>SUM(C114:N114)</f>
        <v>127552</v>
      </c>
      <c r="P114" s="13">
        <f>O114/O$122</f>
        <v>8.2257145036690395E-4</v>
      </c>
    </row>
    <row r="115" spans="1:17" x14ac:dyDescent="0.2">
      <c r="B115" s="16"/>
      <c r="C115" s="9">
        <f t="shared" ref="C115:N115" si="76">C114/$O114</f>
        <v>0.11171914199698946</v>
      </c>
      <c r="D115" s="9">
        <f t="shared" si="76"/>
        <v>0.10514143251379829</v>
      </c>
      <c r="E115" s="9">
        <f t="shared" si="76"/>
        <v>0</v>
      </c>
      <c r="F115" s="9">
        <f t="shared" si="76"/>
        <v>0.22363428248871048</v>
      </c>
      <c r="G115" s="9">
        <f t="shared" si="76"/>
        <v>0</v>
      </c>
      <c r="H115" s="9">
        <f t="shared" si="76"/>
        <v>0</v>
      </c>
      <c r="I115" s="9">
        <f t="shared" si="76"/>
        <v>0.11171914199698946</v>
      </c>
      <c r="J115" s="9">
        <f t="shared" si="76"/>
        <v>0.11171914199698946</v>
      </c>
      <c r="K115" s="9">
        <f t="shared" si="76"/>
        <v>0</v>
      </c>
      <c r="L115" s="9">
        <f t="shared" si="76"/>
        <v>0.22343828399397891</v>
      </c>
      <c r="M115" s="9">
        <f t="shared" si="76"/>
        <v>0</v>
      </c>
      <c r="N115" s="9">
        <f t="shared" si="76"/>
        <v>0.11262857501254391</v>
      </c>
      <c r="O115" s="20"/>
      <c r="P115" s="13"/>
    </row>
    <row r="116" spans="1:17" x14ac:dyDescent="0.2">
      <c r="B116" s="16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13"/>
    </row>
    <row r="117" spans="1:17" x14ac:dyDescent="0.2">
      <c r="A117" s="16" t="s">
        <v>101</v>
      </c>
      <c r="B117" s="16" t="s">
        <v>102</v>
      </c>
      <c r="C117" s="20">
        <f>C173+C223+C273</f>
        <v>1580</v>
      </c>
      <c r="D117" s="20">
        <f t="shared" ref="D117:N117" si="77">D173+D223+D273</f>
        <v>2896</v>
      </c>
      <c r="E117" s="20">
        <f t="shared" si="77"/>
        <v>1120</v>
      </c>
      <c r="F117" s="20">
        <f t="shared" si="77"/>
        <v>1224</v>
      </c>
      <c r="G117" s="20">
        <f t="shared" si="77"/>
        <v>691</v>
      </c>
      <c r="H117" s="20">
        <f t="shared" si="77"/>
        <v>134</v>
      </c>
      <c r="I117" s="20">
        <f t="shared" si="77"/>
        <v>3389</v>
      </c>
      <c r="J117" s="20">
        <f t="shared" si="77"/>
        <v>0</v>
      </c>
      <c r="K117" s="20">
        <f t="shared" si="77"/>
        <v>3470</v>
      </c>
      <c r="L117" s="20">
        <f t="shared" si="77"/>
        <v>2556</v>
      </c>
      <c r="M117" s="20">
        <f t="shared" si="77"/>
        <v>0</v>
      </c>
      <c r="N117" s="20">
        <f t="shared" si="77"/>
        <v>511</v>
      </c>
      <c r="O117" s="20">
        <f>SUM(C117:N117)</f>
        <v>17571</v>
      </c>
      <c r="P117" s="13">
        <f>O117/O$122</f>
        <v>1.1331380891241901E-4</v>
      </c>
    </row>
    <row r="118" spans="1:17" x14ac:dyDescent="0.2">
      <c r="B118" s="16"/>
      <c r="C118" s="9">
        <f t="shared" ref="C118:N118" si="78">C117/$O117</f>
        <v>8.9920892379488929E-2</v>
      </c>
      <c r="D118" s="9">
        <f t="shared" si="78"/>
        <v>0.16481702805759491</v>
      </c>
      <c r="E118" s="9">
        <f t="shared" si="78"/>
        <v>6.3741392066473168E-2</v>
      </c>
      <c r="F118" s="9">
        <f t="shared" si="78"/>
        <v>6.9660235615502816E-2</v>
      </c>
      <c r="G118" s="9">
        <f t="shared" si="78"/>
        <v>3.9326162426725854E-2</v>
      </c>
      <c r="H118" s="9">
        <f t="shared" si="78"/>
        <v>7.626202265095897E-3</v>
      </c>
      <c r="I118" s="9">
        <f t="shared" si="78"/>
        <v>0.19287462295828353</v>
      </c>
      <c r="J118" s="9">
        <f t="shared" si="78"/>
        <v>0</v>
      </c>
      <c r="K118" s="9">
        <f t="shared" si="78"/>
        <v>0.19748449149166239</v>
      </c>
      <c r="L118" s="9">
        <f t="shared" si="78"/>
        <v>0.14546696260884412</v>
      </c>
      <c r="M118" s="9">
        <f t="shared" si="78"/>
        <v>0</v>
      </c>
      <c r="N118" s="9">
        <f t="shared" si="78"/>
        <v>2.9082010130328382E-2</v>
      </c>
      <c r="O118" s="20"/>
      <c r="P118" s="13"/>
    </row>
    <row r="119" spans="1:17" x14ac:dyDescent="0.2">
      <c r="B119" s="16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13"/>
    </row>
    <row r="120" spans="1:17" x14ac:dyDescent="0.2">
      <c r="B120" t="s">
        <v>108</v>
      </c>
      <c r="C120" s="20">
        <f t="shared" ref="C120:O120" si="79">C3+C6+C9+C12+C15+C18+C21+C24+C27+C30+C33+C36+C39+C42+C45+C48+C51+C54+C57+C60+C63+C66+C69+C72+C75+C78+C81+C84+C87+C90+C93+C96+C99+C105+C108+C111+C114+C117</f>
        <v>79976140</v>
      </c>
      <c r="D120" s="20">
        <f t="shared" si="79"/>
        <v>120070698</v>
      </c>
      <c r="E120" s="20">
        <f t="shared" si="79"/>
        <v>89063761</v>
      </c>
      <c r="F120" s="20">
        <f t="shared" si="79"/>
        <v>94420103</v>
      </c>
      <c r="G120" s="20">
        <f t="shared" si="79"/>
        <v>86792753</v>
      </c>
      <c r="H120" s="20">
        <f t="shared" si="79"/>
        <v>80960920</v>
      </c>
      <c r="I120" s="20">
        <f t="shared" si="79"/>
        <v>91362534</v>
      </c>
      <c r="J120" s="20">
        <f t="shared" si="79"/>
        <v>58183871</v>
      </c>
      <c r="K120" s="20">
        <f t="shared" si="79"/>
        <v>74450017</v>
      </c>
      <c r="L120" s="20">
        <f t="shared" si="79"/>
        <v>56153788</v>
      </c>
      <c r="M120" s="20">
        <f t="shared" si="79"/>
        <v>64235329</v>
      </c>
      <c r="N120" s="20">
        <f t="shared" si="79"/>
        <v>70531877</v>
      </c>
      <c r="O120" s="20">
        <f t="shared" si="79"/>
        <v>966201791</v>
      </c>
      <c r="P120" s="13">
        <f>SUM(P15:P117)-P24-P30-P81-P84-P102</f>
        <v>0.99999999999999978</v>
      </c>
    </row>
    <row r="121" spans="1:17" x14ac:dyDescent="0.2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13"/>
    </row>
    <row r="122" spans="1:17" x14ac:dyDescent="0.2">
      <c r="B122" t="s">
        <v>110</v>
      </c>
      <c r="C122" s="20">
        <f>+C15+C18+C21+C27+C33+C36+C39+C42+C45+C48+C51+C54+C57+C60+C63+C66+C69+C72+C75+C78+C87+C90+C93+C96+C99+C105+C108+C111+C114+C117</f>
        <v>13288486</v>
      </c>
      <c r="D122" s="20">
        <f t="shared" ref="D122:N122" si="80">+D15+D18+D21+D27+D33+D36+D39+D42+D45+D48+D51+D54+D57+D60+D63+D66+D69+D72+D75+D78+D87+D90+D93+D96+D99+D105+D108+D111+D114+D117</f>
        <v>15982351</v>
      </c>
      <c r="E122" s="20">
        <f t="shared" si="80"/>
        <v>16339217</v>
      </c>
      <c r="F122" s="20">
        <f t="shared" si="80"/>
        <v>16472969</v>
      </c>
      <c r="G122" s="20">
        <f t="shared" si="80"/>
        <v>12717413</v>
      </c>
      <c r="H122" s="20">
        <f t="shared" si="80"/>
        <v>12900723</v>
      </c>
      <c r="I122" s="20">
        <f t="shared" si="80"/>
        <v>13543395</v>
      </c>
      <c r="J122" s="20">
        <f t="shared" si="80"/>
        <v>7860893</v>
      </c>
      <c r="K122" s="20">
        <f t="shared" si="80"/>
        <v>10713413</v>
      </c>
      <c r="L122" s="20">
        <f t="shared" si="80"/>
        <v>9318411</v>
      </c>
      <c r="M122" s="20">
        <f t="shared" si="80"/>
        <v>10936783</v>
      </c>
      <c r="N122" s="20">
        <f t="shared" si="80"/>
        <v>14990895</v>
      </c>
      <c r="O122" s="20">
        <f>+O15+O18+O21+O27+O33+O36+O39+O42+O45+O48+O51+O54+O57+O60+O63+O66+O69+O72+O75+O78+O87+O90+O93+O96+O99+O105+O108+O111+O114+O117</f>
        <v>155064949</v>
      </c>
      <c r="P122" s="13">
        <f>O122/O$120</f>
        <v>0.16048919640224513</v>
      </c>
    </row>
    <row r="123" spans="1:17" x14ac:dyDescent="0.2">
      <c r="C123" s="9">
        <f t="shared" ref="C123:N123" si="81">C122/$O122</f>
        <v>8.5696258797982774E-2</v>
      </c>
      <c r="D123" s="9">
        <f t="shared" si="81"/>
        <v>0.103068753467942</v>
      </c>
      <c r="E123" s="9">
        <f t="shared" si="81"/>
        <v>0.10537015041355348</v>
      </c>
      <c r="F123" s="9">
        <f t="shared" si="81"/>
        <v>0.1062327051099085</v>
      </c>
      <c r="G123" s="9">
        <f t="shared" si="81"/>
        <v>8.201346005021419E-2</v>
      </c>
      <c r="H123" s="9">
        <f t="shared" si="81"/>
        <v>8.3195609860227018E-2</v>
      </c>
      <c r="I123" s="9">
        <f t="shared" si="81"/>
        <v>8.7340144161141151E-2</v>
      </c>
      <c r="J123" s="9">
        <f t="shared" si="81"/>
        <v>5.0694196533092727E-2</v>
      </c>
      <c r="K123" s="9">
        <f t="shared" si="81"/>
        <v>6.9089843121155639E-2</v>
      </c>
      <c r="L123" s="9">
        <f t="shared" si="81"/>
        <v>6.0093599876010664E-2</v>
      </c>
      <c r="M123" s="9">
        <f t="shared" si="81"/>
        <v>7.053033629153678E-2</v>
      </c>
      <c r="N123" s="9">
        <f t="shared" si="81"/>
        <v>9.6674942317235085E-2</v>
      </c>
      <c r="O123" s="21">
        <f>SUM(C123:N123)</f>
        <v>1</v>
      </c>
      <c r="P123" s="13"/>
    </row>
    <row r="124" spans="1:17" x14ac:dyDescent="0.2">
      <c r="B124" s="16" t="s">
        <v>109</v>
      </c>
      <c r="C124" s="20">
        <f t="shared" ref="C124:O124" si="82">C3+C6+C9+C12</f>
        <v>58225221</v>
      </c>
      <c r="D124" s="20">
        <f t="shared" si="82"/>
        <v>94303895</v>
      </c>
      <c r="E124" s="20">
        <f t="shared" si="82"/>
        <v>61400554</v>
      </c>
      <c r="F124" s="20">
        <f t="shared" si="82"/>
        <v>65469673</v>
      </c>
      <c r="G124" s="20">
        <f t="shared" si="82"/>
        <v>62983649</v>
      </c>
      <c r="H124" s="20">
        <f t="shared" si="82"/>
        <v>57984998</v>
      </c>
      <c r="I124" s="20">
        <f t="shared" si="82"/>
        <v>67048387</v>
      </c>
      <c r="J124" s="20">
        <f t="shared" si="82"/>
        <v>43951642</v>
      </c>
      <c r="K124" s="20">
        <f t="shared" si="82"/>
        <v>56421159</v>
      </c>
      <c r="L124" s="20">
        <f t="shared" si="82"/>
        <v>39062489</v>
      </c>
      <c r="M124" s="20">
        <f t="shared" si="82"/>
        <v>44308706</v>
      </c>
      <c r="N124" s="20">
        <f t="shared" si="82"/>
        <v>41063161</v>
      </c>
      <c r="O124" s="20">
        <f t="shared" si="82"/>
        <v>692223534</v>
      </c>
      <c r="P124" s="13">
        <f>O124/O$120</f>
        <v>0.71643785019645034</v>
      </c>
    </row>
    <row r="125" spans="1:17" x14ac:dyDescent="0.2">
      <c r="B125" s="16"/>
      <c r="C125" s="9">
        <f t="shared" ref="C125:N125" si="83">C124/$O124</f>
        <v>8.4113321983646974E-2</v>
      </c>
      <c r="D125" s="9">
        <f t="shared" si="83"/>
        <v>0.13623329801439546</v>
      </c>
      <c r="E125" s="9">
        <f t="shared" si="83"/>
        <v>8.8700471717854071E-2</v>
      </c>
      <c r="F125" s="9">
        <f t="shared" si="83"/>
        <v>9.4578802632850095E-2</v>
      </c>
      <c r="G125" s="9">
        <f t="shared" si="83"/>
        <v>9.0987442504374599E-2</v>
      </c>
      <c r="H125" s="9">
        <f t="shared" si="83"/>
        <v>8.3766291020091213E-2</v>
      </c>
      <c r="I125" s="9">
        <f t="shared" si="83"/>
        <v>9.6859444538908143E-2</v>
      </c>
      <c r="J125" s="9">
        <f t="shared" si="83"/>
        <v>6.3493423498658455E-2</v>
      </c>
      <c r="K125" s="9">
        <f t="shared" si="83"/>
        <v>8.1507137837356455E-2</v>
      </c>
      <c r="L125" s="9">
        <f t="shared" si="83"/>
        <v>5.6430455021195508E-2</v>
      </c>
      <c r="M125" s="9">
        <f t="shared" si="83"/>
        <v>6.4009245314101099E-2</v>
      </c>
      <c r="N125" s="9">
        <f t="shared" si="83"/>
        <v>5.9320665916567927E-2</v>
      </c>
      <c r="O125" s="21">
        <f>SUM(C125:N125)</f>
        <v>1</v>
      </c>
      <c r="P125" s="13"/>
      <c r="Q125"/>
    </row>
    <row r="126" spans="1:17" x14ac:dyDescent="0.2">
      <c r="B126" s="16" t="s">
        <v>113</v>
      </c>
      <c r="C126" s="20">
        <f t="shared" ref="C126:O126" si="84">C30</f>
        <v>3556254</v>
      </c>
      <c r="D126" s="20">
        <f t="shared" si="84"/>
        <v>4531107</v>
      </c>
      <c r="E126" s="20">
        <f t="shared" si="84"/>
        <v>3927108</v>
      </c>
      <c r="F126" s="20">
        <f t="shared" si="84"/>
        <v>4414846</v>
      </c>
      <c r="G126" s="20">
        <f t="shared" si="84"/>
        <v>4859714</v>
      </c>
      <c r="H126" s="20">
        <f t="shared" si="84"/>
        <v>3302780</v>
      </c>
      <c r="I126" s="20">
        <f t="shared" si="84"/>
        <v>2791653</v>
      </c>
      <c r="J126" s="20">
        <f t="shared" si="84"/>
        <v>1215406</v>
      </c>
      <c r="K126" s="20">
        <f t="shared" si="84"/>
        <v>1612957</v>
      </c>
      <c r="L126" s="20">
        <f t="shared" si="84"/>
        <v>1887901</v>
      </c>
      <c r="M126" s="20">
        <f t="shared" si="84"/>
        <v>1846604</v>
      </c>
      <c r="N126" s="20">
        <f t="shared" si="84"/>
        <v>4987142</v>
      </c>
      <c r="O126" s="20">
        <f t="shared" si="84"/>
        <v>38933472</v>
      </c>
      <c r="P126" s="13">
        <f>O126/O$120</f>
        <v>4.0295383803526812E-2</v>
      </c>
      <c r="Q126"/>
    </row>
    <row r="127" spans="1:17" x14ac:dyDescent="0.2">
      <c r="B127" s="16"/>
      <c r="C127" s="9">
        <f t="shared" ref="C127:N127" si="85">C126/$O126</f>
        <v>9.1341815083946273E-2</v>
      </c>
      <c r="D127" s="9">
        <f t="shared" si="85"/>
        <v>0.1163807584383946</v>
      </c>
      <c r="E127" s="9">
        <f t="shared" si="85"/>
        <v>0.10086714074716994</v>
      </c>
      <c r="F127" s="9">
        <f t="shared" si="85"/>
        <v>0.11339461325206239</v>
      </c>
      <c r="G127" s="9">
        <f t="shared" si="85"/>
        <v>0.12482097666501461</v>
      </c>
      <c r="H127" s="9">
        <f t="shared" si="85"/>
        <v>8.4831375943044587E-2</v>
      </c>
      <c r="I127" s="9">
        <f t="shared" si="85"/>
        <v>7.1703160714770051E-2</v>
      </c>
      <c r="J127" s="9">
        <f t="shared" si="85"/>
        <v>3.1217508677366355E-2</v>
      </c>
      <c r="K127" s="9">
        <f t="shared" si="85"/>
        <v>4.1428542514780085E-2</v>
      </c>
      <c r="L127" s="9">
        <f t="shared" si="85"/>
        <v>4.8490435171052816E-2</v>
      </c>
      <c r="M127" s="9">
        <f t="shared" si="85"/>
        <v>4.7429728332474434E-2</v>
      </c>
      <c r="N127" s="9">
        <f t="shared" si="85"/>
        <v>0.12809394445992384</v>
      </c>
      <c r="O127" s="21">
        <f>SUM(C127:N127)</f>
        <v>0.99999999999999989</v>
      </c>
      <c r="P127" s="13"/>
    </row>
    <row r="128" spans="1:17" x14ac:dyDescent="0.2">
      <c r="B128" s="16" t="s">
        <v>82</v>
      </c>
      <c r="C128" s="20">
        <f t="shared" ref="C128:O128" si="86">C81</f>
        <v>2177398</v>
      </c>
      <c r="D128" s="20">
        <f t="shared" si="86"/>
        <v>1960131</v>
      </c>
      <c r="E128" s="20">
        <f t="shared" si="86"/>
        <v>3226121</v>
      </c>
      <c r="F128" s="20">
        <f t="shared" si="86"/>
        <v>3316252</v>
      </c>
      <c r="G128" s="20">
        <f t="shared" si="86"/>
        <v>2183637</v>
      </c>
      <c r="H128" s="20">
        <f t="shared" si="86"/>
        <v>2716729</v>
      </c>
      <c r="I128" s="20">
        <f t="shared" si="86"/>
        <v>2498898</v>
      </c>
      <c r="J128" s="20">
        <f t="shared" si="86"/>
        <v>1439911</v>
      </c>
      <c r="K128" s="20">
        <f t="shared" si="86"/>
        <v>1861141</v>
      </c>
      <c r="L128" s="20">
        <f t="shared" si="86"/>
        <v>2022119</v>
      </c>
      <c r="M128" s="20">
        <f t="shared" si="86"/>
        <v>2625010</v>
      </c>
      <c r="N128" s="20">
        <f t="shared" si="86"/>
        <v>4309943</v>
      </c>
      <c r="O128" s="20">
        <f t="shared" si="86"/>
        <v>30337290</v>
      </c>
      <c r="P128" s="13">
        <f>O128/O$120</f>
        <v>3.1398503172511714E-2</v>
      </c>
    </row>
    <row r="129" spans="1:17" x14ac:dyDescent="0.2">
      <c r="B129" s="16"/>
      <c r="C129" s="9">
        <f t="shared" ref="C129:N129" si="87">C128/$O128</f>
        <v>7.1772989611135332E-2</v>
      </c>
      <c r="D129" s="9">
        <f t="shared" si="87"/>
        <v>6.461127543033672E-2</v>
      </c>
      <c r="E129" s="9">
        <f t="shared" si="87"/>
        <v>0.10634176618939925</v>
      </c>
      <c r="F129" s="9">
        <f t="shared" si="87"/>
        <v>0.10931273030649738</v>
      </c>
      <c r="G129" s="9">
        <f t="shared" si="87"/>
        <v>7.1978644104334966E-2</v>
      </c>
      <c r="H129" s="9">
        <f t="shared" si="87"/>
        <v>8.9550813536739771E-2</v>
      </c>
      <c r="I129" s="9">
        <f t="shared" si="87"/>
        <v>8.2370508374347215E-2</v>
      </c>
      <c r="J129" s="9">
        <f t="shared" si="87"/>
        <v>4.7463402301260262E-2</v>
      </c>
      <c r="K129" s="9">
        <f t="shared" si="87"/>
        <v>6.1348294458733792E-2</v>
      </c>
      <c r="L129" s="9">
        <f t="shared" si="87"/>
        <v>6.6654569343537279E-2</v>
      </c>
      <c r="M129" s="9">
        <f t="shared" si="87"/>
        <v>8.6527504599125366E-2</v>
      </c>
      <c r="N129" s="9">
        <f t="shared" si="87"/>
        <v>0.14206750174455265</v>
      </c>
      <c r="O129" s="21">
        <f>SUM(C129:N129)</f>
        <v>1</v>
      </c>
      <c r="P129" s="13"/>
      <c r="Q129" s="31"/>
    </row>
    <row r="130" spans="1:17" x14ac:dyDescent="0.2">
      <c r="B130" s="16" t="s">
        <v>84</v>
      </c>
      <c r="C130" s="20">
        <f t="shared" ref="C130:O130" si="88">C24+C84</f>
        <v>2728781</v>
      </c>
      <c r="D130" s="20">
        <f t="shared" si="88"/>
        <v>3293214</v>
      </c>
      <c r="E130" s="20">
        <f t="shared" si="88"/>
        <v>4170761</v>
      </c>
      <c r="F130" s="20">
        <f t="shared" si="88"/>
        <v>4746363</v>
      </c>
      <c r="G130" s="20">
        <f t="shared" si="88"/>
        <v>4048340</v>
      </c>
      <c r="H130" s="20">
        <f t="shared" si="88"/>
        <v>4055690</v>
      </c>
      <c r="I130" s="20">
        <f t="shared" si="88"/>
        <v>5480201</v>
      </c>
      <c r="J130" s="20">
        <f t="shared" si="88"/>
        <v>3716019</v>
      </c>
      <c r="K130" s="20">
        <f t="shared" si="88"/>
        <v>3841347</v>
      </c>
      <c r="L130" s="20">
        <f t="shared" si="88"/>
        <v>3862868</v>
      </c>
      <c r="M130" s="20">
        <f t="shared" si="88"/>
        <v>4518226</v>
      </c>
      <c r="N130" s="20">
        <f t="shared" si="88"/>
        <v>5180736</v>
      </c>
      <c r="O130" s="20">
        <f t="shared" si="88"/>
        <v>49642546</v>
      </c>
      <c r="P130" s="13">
        <f>O130/O$120</f>
        <v>5.1379066425266025E-2</v>
      </c>
    </row>
    <row r="131" spans="1:17" x14ac:dyDescent="0.2">
      <c r="B131" s="16"/>
      <c r="C131" s="9">
        <f t="shared" ref="C131:N131" si="89">C130/$O130</f>
        <v>5.4968594882301158E-2</v>
      </c>
      <c r="D131" s="9">
        <f t="shared" si="89"/>
        <v>6.6338539526155649E-2</v>
      </c>
      <c r="E131" s="9">
        <f t="shared" si="89"/>
        <v>8.4015856076358378E-2</v>
      </c>
      <c r="F131" s="9">
        <f t="shared" si="89"/>
        <v>9.5610789180716069E-2</v>
      </c>
      <c r="G131" s="9">
        <f t="shared" si="89"/>
        <v>8.1549806087705498E-2</v>
      </c>
      <c r="H131" s="9">
        <f t="shared" si="89"/>
        <v>8.1697864569637499E-2</v>
      </c>
      <c r="I131" s="9">
        <f t="shared" si="89"/>
        <v>0.11039323003296406</v>
      </c>
      <c r="J131" s="9">
        <f t="shared" si="89"/>
        <v>7.4855528159252754E-2</v>
      </c>
      <c r="K131" s="9">
        <f t="shared" si="89"/>
        <v>7.7380136788310572E-2</v>
      </c>
      <c r="L131" s="9">
        <f t="shared" si="89"/>
        <v>7.7813656052209731E-2</v>
      </c>
      <c r="M131" s="9">
        <f t="shared" si="89"/>
        <v>9.1015194909624494E-2</v>
      </c>
      <c r="N131" s="9">
        <f t="shared" si="89"/>
        <v>0.10436080373476413</v>
      </c>
      <c r="O131" s="21">
        <f>SUM(C131:N131)</f>
        <v>1</v>
      </c>
      <c r="P131" s="13"/>
    </row>
    <row r="132" spans="1:17" x14ac:dyDescent="0.2">
      <c r="C132" s="20">
        <f>C122+C124+C126+C128+C130-C120</f>
        <v>0</v>
      </c>
      <c r="D132" s="20">
        <f t="shared" ref="D132:N132" si="90">D122+D124+D126+D128+D130-D120</f>
        <v>0</v>
      </c>
      <c r="E132" s="20">
        <f t="shared" si="90"/>
        <v>0</v>
      </c>
      <c r="F132" s="20">
        <f t="shared" si="90"/>
        <v>0</v>
      </c>
      <c r="G132" s="20">
        <f t="shared" si="90"/>
        <v>0</v>
      </c>
      <c r="H132" s="20">
        <f t="shared" si="90"/>
        <v>0</v>
      </c>
      <c r="I132" s="20">
        <f t="shared" si="90"/>
        <v>0</v>
      </c>
      <c r="J132" s="20">
        <f t="shared" si="90"/>
        <v>0</v>
      </c>
      <c r="K132" s="20">
        <f t="shared" si="90"/>
        <v>0</v>
      </c>
      <c r="L132" s="20">
        <f t="shared" si="90"/>
        <v>0</v>
      </c>
      <c r="M132" s="20">
        <f t="shared" si="90"/>
        <v>0</v>
      </c>
      <c r="N132" s="20">
        <f t="shared" si="90"/>
        <v>0</v>
      </c>
      <c r="P132" s="41">
        <f>SUM(P122:P130)</f>
        <v>1</v>
      </c>
    </row>
    <row r="134" spans="1:17" x14ac:dyDescent="0.2">
      <c r="C134" s="18">
        <v>42186</v>
      </c>
      <c r="D134" s="18">
        <v>42217</v>
      </c>
      <c r="E134" s="18">
        <v>42248</v>
      </c>
      <c r="F134" s="18">
        <v>42278</v>
      </c>
      <c r="G134" s="18">
        <v>42309</v>
      </c>
      <c r="H134" s="18">
        <v>42339</v>
      </c>
      <c r="I134" s="18">
        <v>42370</v>
      </c>
      <c r="J134" s="18">
        <v>42401</v>
      </c>
      <c r="K134" s="18">
        <v>42430</v>
      </c>
      <c r="L134" s="18">
        <v>42461</v>
      </c>
      <c r="M134" s="18">
        <v>42491</v>
      </c>
      <c r="N134" s="18">
        <v>42522</v>
      </c>
      <c r="O134" s="17" t="s">
        <v>222</v>
      </c>
    </row>
    <row r="135" spans="1:17" x14ac:dyDescent="0.2">
      <c r="A135" s="16" t="s">
        <v>33</v>
      </c>
      <c r="B135" s="16" t="s">
        <v>34</v>
      </c>
      <c r="C135" s="17">
        <v>19085390</v>
      </c>
      <c r="D135" s="17">
        <v>30862936</v>
      </c>
      <c r="E135" s="17">
        <v>19889758</v>
      </c>
      <c r="F135" s="17">
        <v>20981492</v>
      </c>
      <c r="G135" s="17">
        <v>19970582</v>
      </c>
      <c r="H135" s="17">
        <v>18831592</v>
      </c>
      <c r="I135" s="17">
        <v>24919039</v>
      </c>
      <c r="J135" s="17"/>
      <c r="K135" s="17"/>
      <c r="L135" s="17"/>
      <c r="M135" s="17"/>
      <c r="N135" s="17"/>
      <c r="O135" s="17">
        <f>SUM(C135:N135)</f>
        <v>154540789</v>
      </c>
    </row>
    <row r="136" spans="1:17" x14ac:dyDescent="0.2">
      <c r="A136" s="16" t="s">
        <v>35</v>
      </c>
      <c r="B136" s="16" t="s">
        <v>36</v>
      </c>
      <c r="C136" s="17">
        <v>38277</v>
      </c>
      <c r="D136" s="17">
        <v>50168</v>
      </c>
      <c r="E136" s="17">
        <v>85007</v>
      </c>
      <c r="F136" s="17">
        <v>73348</v>
      </c>
      <c r="G136" s="17">
        <v>25733</v>
      </c>
      <c r="H136" s="17">
        <v>70990</v>
      </c>
      <c r="I136" s="17">
        <v>66496</v>
      </c>
      <c r="J136" s="17"/>
      <c r="K136" s="17"/>
      <c r="L136" s="17"/>
      <c r="M136" s="17"/>
      <c r="N136" s="17"/>
      <c r="O136" s="17">
        <f>SUM(C136:N136)</f>
        <v>410019</v>
      </c>
    </row>
    <row r="137" spans="1:17" x14ac:dyDescent="0.2">
      <c r="A137" s="16" t="s">
        <v>37</v>
      </c>
      <c r="B137" s="16" t="s">
        <v>38</v>
      </c>
      <c r="C137" s="17">
        <v>0</v>
      </c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>
        <f t="shared" ref="O137:O167" si="91">SUM(C137:N137)</f>
        <v>0</v>
      </c>
    </row>
    <row r="138" spans="1:17" x14ac:dyDescent="0.2">
      <c r="A138" s="16" t="s">
        <v>39</v>
      </c>
      <c r="B138" s="16" t="s">
        <v>40</v>
      </c>
      <c r="C138" s="17">
        <v>230953</v>
      </c>
      <c r="D138" s="17">
        <v>339832</v>
      </c>
      <c r="E138" s="17">
        <v>266496</v>
      </c>
      <c r="F138" s="17">
        <v>271376</v>
      </c>
      <c r="G138" s="17">
        <v>243611</v>
      </c>
      <c r="H138" s="17">
        <v>192430</v>
      </c>
      <c r="I138" s="17">
        <v>245190</v>
      </c>
      <c r="J138" s="17"/>
      <c r="K138" s="17"/>
      <c r="L138" s="17"/>
      <c r="M138" s="17"/>
      <c r="N138" s="17"/>
      <c r="O138" s="17">
        <f t="shared" si="91"/>
        <v>1789888</v>
      </c>
    </row>
    <row r="139" spans="1:17" x14ac:dyDescent="0.2">
      <c r="A139" s="16" t="s">
        <v>41</v>
      </c>
      <c r="B139" s="16" t="s">
        <v>42</v>
      </c>
      <c r="C139" s="17">
        <v>155750</v>
      </c>
      <c r="D139" s="17">
        <v>154678</v>
      </c>
      <c r="E139" s="17">
        <v>144864</v>
      </c>
      <c r="F139" s="17">
        <v>123786</v>
      </c>
      <c r="G139" s="17">
        <v>117605</v>
      </c>
      <c r="H139" s="17">
        <v>175634</v>
      </c>
      <c r="I139" s="17">
        <v>284932</v>
      </c>
      <c r="J139" s="17"/>
      <c r="K139" s="17"/>
      <c r="L139" s="17"/>
      <c r="M139" s="17"/>
      <c r="N139" s="17"/>
      <c r="O139" s="17">
        <f t="shared" si="91"/>
        <v>1157249</v>
      </c>
    </row>
    <row r="140" spans="1:17" x14ac:dyDescent="0.2">
      <c r="A140" s="16" t="s">
        <v>43</v>
      </c>
      <c r="B140" s="16" t="s">
        <v>44</v>
      </c>
      <c r="C140" s="17"/>
      <c r="D140" s="17"/>
      <c r="E140" s="17"/>
      <c r="F140" s="17"/>
      <c r="G140" s="17">
        <v>82</v>
      </c>
      <c r="H140" s="17">
        <v>0</v>
      </c>
      <c r="I140" s="17">
        <v>0</v>
      </c>
      <c r="J140" s="17"/>
      <c r="K140" s="17"/>
      <c r="L140" s="17"/>
      <c r="M140" s="17"/>
      <c r="N140" s="17"/>
      <c r="O140" s="17">
        <f t="shared" si="91"/>
        <v>82</v>
      </c>
    </row>
    <row r="141" spans="1:17" x14ac:dyDescent="0.2">
      <c r="A141" s="16" t="s">
        <v>45</v>
      </c>
      <c r="B141" s="16" t="s">
        <v>46</v>
      </c>
      <c r="C141" s="17">
        <v>2583897</v>
      </c>
      <c r="D141" s="17">
        <v>3927618</v>
      </c>
      <c r="E141" s="17">
        <v>3366569</v>
      </c>
      <c r="F141" s="17">
        <v>3362143</v>
      </c>
      <c r="G141" s="17">
        <v>2806746</v>
      </c>
      <c r="H141" s="17">
        <v>2655025</v>
      </c>
      <c r="I141" s="17">
        <v>2687118</v>
      </c>
      <c r="J141" s="17"/>
      <c r="K141" s="17"/>
      <c r="L141" s="17"/>
      <c r="M141" s="17"/>
      <c r="N141" s="17"/>
      <c r="O141" s="17">
        <f t="shared" si="91"/>
        <v>21389116</v>
      </c>
    </row>
    <row r="142" spans="1:17" x14ac:dyDescent="0.2">
      <c r="A142" s="16" t="s">
        <v>47</v>
      </c>
      <c r="B142" s="16" t="s">
        <v>48</v>
      </c>
      <c r="C142" s="17">
        <v>208491</v>
      </c>
      <c r="D142" s="17">
        <v>120436</v>
      </c>
      <c r="E142" s="17">
        <v>134491</v>
      </c>
      <c r="F142" s="17">
        <v>112221</v>
      </c>
      <c r="G142" s="17">
        <v>134950</v>
      </c>
      <c r="H142" s="17">
        <v>134985</v>
      </c>
      <c r="I142" s="17">
        <v>389834</v>
      </c>
      <c r="J142" s="17"/>
      <c r="K142" s="17"/>
      <c r="L142" s="17"/>
      <c r="M142" s="17"/>
      <c r="N142" s="17"/>
      <c r="O142" s="17">
        <f t="shared" si="91"/>
        <v>1235408</v>
      </c>
    </row>
    <row r="143" spans="1:17" x14ac:dyDescent="0.2">
      <c r="A143" s="16" t="s">
        <v>49</v>
      </c>
      <c r="B143" s="16" t="s">
        <v>50</v>
      </c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>
        <f t="shared" si="91"/>
        <v>0</v>
      </c>
    </row>
    <row r="144" spans="1:17" x14ac:dyDescent="0.2">
      <c r="A144" s="16" t="s">
        <v>51</v>
      </c>
      <c r="B144" s="16" t="s">
        <v>52</v>
      </c>
      <c r="C144" s="17">
        <v>1414592</v>
      </c>
      <c r="D144" s="17">
        <v>1421465</v>
      </c>
      <c r="E144" s="17">
        <v>991133</v>
      </c>
      <c r="F144" s="17">
        <v>1604038</v>
      </c>
      <c r="G144" s="17">
        <v>2215142</v>
      </c>
      <c r="H144" s="17">
        <v>1216920</v>
      </c>
      <c r="I144" s="17">
        <v>1002786</v>
      </c>
      <c r="J144" s="17"/>
      <c r="K144" s="17"/>
      <c r="L144" s="17"/>
      <c r="M144" s="17"/>
      <c r="N144" s="17"/>
      <c r="O144" s="17">
        <f t="shared" si="91"/>
        <v>9866076</v>
      </c>
    </row>
    <row r="145" spans="1:15" x14ac:dyDescent="0.2">
      <c r="A145" s="16" t="s">
        <v>53</v>
      </c>
      <c r="B145" s="16" t="s">
        <v>54</v>
      </c>
      <c r="C145" s="17">
        <v>110707</v>
      </c>
      <c r="D145" s="17">
        <v>145348</v>
      </c>
      <c r="E145" s="17">
        <v>159808</v>
      </c>
      <c r="F145" s="17">
        <v>297828</v>
      </c>
      <c r="G145" s="17">
        <v>371940</v>
      </c>
      <c r="H145" s="17">
        <v>218472</v>
      </c>
      <c r="I145" s="17">
        <v>198151</v>
      </c>
      <c r="J145" s="17"/>
      <c r="K145" s="17"/>
      <c r="L145" s="17"/>
      <c r="M145" s="17"/>
      <c r="N145" s="17"/>
      <c r="O145" s="17">
        <f t="shared" si="91"/>
        <v>1502254</v>
      </c>
    </row>
    <row r="146" spans="1:15" x14ac:dyDescent="0.2">
      <c r="A146" s="16" t="s">
        <v>55</v>
      </c>
      <c r="B146" s="16" t="s">
        <v>56</v>
      </c>
      <c r="C146" s="17">
        <v>187164</v>
      </c>
      <c r="D146" s="17">
        <v>274656</v>
      </c>
      <c r="E146" s="17">
        <v>385991</v>
      </c>
      <c r="F146" s="17">
        <v>220123</v>
      </c>
      <c r="G146" s="17">
        <v>301176</v>
      </c>
      <c r="H146" s="17">
        <v>240265</v>
      </c>
      <c r="I146" s="17">
        <v>455846</v>
      </c>
      <c r="J146" s="17"/>
      <c r="K146" s="17"/>
      <c r="L146" s="17"/>
      <c r="M146" s="17"/>
      <c r="N146" s="17"/>
      <c r="O146" s="17">
        <f t="shared" si="91"/>
        <v>2065221</v>
      </c>
    </row>
    <row r="147" spans="1:15" x14ac:dyDescent="0.2">
      <c r="A147" s="16" t="s">
        <v>57</v>
      </c>
      <c r="B147" s="16" t="s">
        <v>58</v>
      </c>
      <c r="C147" s="17">
        <v>240666</v>
      </c>
      <c r="D147" s="17">
        <v>137395</v>
      </c>
      <c r="E147" s="17">
        <v>151177</v>
      </c>
      <c r="F147" s="17">
        <v>201430</v>
      </c>
      <c r="G147" s="17">
        <v>63706</v>
      </c>
      <c r="H147" s="17">
        <v>146236</v>
      </c>
      <c r="I147" s="17">
        <v>94919</v>
      </c>
      <c r="J147" s="17"/>
      <c r="K147" s="17"/>
      <c r="L147" s="17"/>
      <c r="M147" s="17"/>
      <c r="N147" s="17"/>
      <c r="O147" s="17">
        <f t="shared" si="91"/>
        <v>1035529</v>
      </c>
    </row>
    <row r="148" spans="1:15" x14ac:dyDescent="0.2">
      <c r="A148" s="16" t="s">
        <v>59</v>
      </c>
      <c r="B148" s="16" t="s">
        <v>60</v>
      </c>
      <c r="C148" s="17">
        <v>4110</v>
      </c>
      <c r="D148" s="17">
        <v>3090</v>
      </c>
      <c r="E148" s="17">
        <v>1110</v>
      </c>
      <c r="F148" s="17">
        <v>7034</v>
      </c>
      <c r="G148" s="17">
        <v>1295</v>
      </c>
      <c r="H148" s="17">
        <v>6641</v>
      </c>
      <c r="I148" s="17">
        <v>3135</v>
      </c>
      <c r="J148" s="17"/>
      <c r="K148" s="17"/>
      <c r="L148" s="17"/>
      <c r="M148" s="17"/>
      <c r="N148" s="17"/>
      <c r="O148" s="17">
        <f t="shared" si="91"/>
        <v>26415</v>
      </c>
    </row>
    <row r="149" spans="1:15" x14ac:dyDescent="0.2">
      <c r="A149" s="16" t="s">
        <v>61</v>
      </c>
      <c r="B149" s="16" t="s">
        <v>62</v>
      </c>
      <c r="C149" s="17">
        <v>0</v>
      </c>
      <c r="D149" s="17"/>
      <c r="E149" s="17">
        <v>0</v>
      </c>
      <c r="F149" s="17">
        <v>350</v>
      </c>
      <c r="G149" s="17">
        <v>0</v>
      </c>
      <c r="H149" s="17">
        <v>0</v>
      </c>
      <c r="I149" s="17">
        <v>0</v>
      </c>
      <c r="J149" s="17"/>
      <c r="K149" s="17"/>
      <c r="L149" s="17"/>
      <c r="M149" s="17"/>
      <c r="N149" s="17"/>
      <c r="O149" s="17">
        <f t="shared" si="91"/>
        <v>350</v>
      </c>
    </row>
    <row r="150" spans="1:15" x14ac:dyDescent="0.2">
      <c r="A150" s="16" t="s">
        <v>63</v>
      </c>
      <c r="B150" s="16" t="s">
        <v>64</v>
      </c>
      <c r="C150" s="17">
        <v>-731358</v>
      </c>
      <c r="D150" s="17">
        <v>919616</v>
      </c>
      <c r="E150" s="17">
        <v>94129</v>
      </c>
      <c r="F150" s="17">
        <v>94129</v>
      </c>
      <c r="G150" s="17">
        <v>94129</v>
      </c>
      <c r="H150" s="17">
        <v>94129</v>
      </c>
      <c r="I150" s="17">
        <v>94129</v>
      </c>
      <c r="J150" s="17"/>
      <c r="K150" s="17"/>
      <c r="L150" s="17"/>
      <c r="M150" s="17"/>
      <c r="N150" s="17"/>
      <c r="O150" s="17">
        <f t="shared" si="91"/>
        <v>658903</v>
      </c>
    </row>
    <row r="151" spans="1:15" x14ac:dyDescent="0.2">
      <c r="A151" s="16" t="s">
        <v>65</v>
      </c>
      <c r="B151" s="16" t="s">
        <v>66</v>
      </c>
      <c r="F151" s="17"/>
      <c r="G151" s="17"/>
      <c r="H151" s="17"/>
      <c r="I151" s="17"/>
      <c r="J151" s="17"/>
      <c r="K151" s="17"/>
      <c r="L151" s="17"/>
      <c r="M151" s="17"/>
      <c r="N151" s="17"/>
      <c r="O151" s="17">
        <f t="shared" si="91"/>
        <v>0</v>
      </c>
    </row>
    <row r="152" spans="1:15" x14ac:dyDescent="0.2">
      <c r="A152" s="16" t="s">
        <v>67</v>
      </c>
      <c r="B152" s="16" t="s">
        <v>68</v>
      </c>
      <c r="C152" s="17">
        <v>3445</v>
      </c>
      <c r="D152" s="17">
        <v>18911</v>
      </c>
      <c r="E152" s="17">
        <v>7037</v>
      </c>
      <c r="F152" s="17">
        <v>1045</v>
      </c>
      <c r="G152" s="17">
        <v>32882</v>
      </c>
      <c r="H152" s="17">
        <v>1707</v>
      </c>
      <c r="I152" s="17">
        <v>10194</v>
      </c>
      <c r="J152" s="17"/>
      <c r="K152" s="17"/>
      <c r="L152" s="17"/>
      <c r="M152" s="17"/>
      <c r="N152" s="17"/>
      <c r="O152" s="93">
        <f t="shared" si="91"/>
        <v>75221</v>
      </c>
    </row>
    <row r="153" spans="1:15" x14ac:dyDescent="0.2">
      <c r="A153" s="16" t="s">
        <v>69</v>
      </c>
      <c r="B153" s="16" t="s">
        <v>70</v>
      </c>
      <c r="C153" s="17">
        <v>83730</v>
      </c>
      <c r="D153" s="17">
        <v>58261</v>
      </c>
      <c r="E153" s="17">
        <v>121998</v>
      </c>
      <c r="F153" s="17">
        <v>48476</v>
      </c>
      <c r="G153" s="17">
        <v>54015</v>
      </c>
      <c r="H153" s="17">
        <v>8803</v>
      </c>
      <c r="I153" s="17">
        <v>25965</v>
      </c>
      <c r="J153" s="17"/>
      <c r="K153" s="17"/>
      <c r="L153" s="17"/>
      <c r="M153" s="17"/>
      <c r="N153" s="17"/>
      <c r="O153" s="17">
        <f t="shared" si="91"/>
        <v>401248</v>
      </c>
    </row>
    <row r="154" spans="1:15" x14ac:dyDescent="0.2">
      <c r="A154" s="16" t="s">
        <v>71</v>
      </c>
      <c r="B154" s="16" t="s">
        <v>72</v>
      </c>
      <c r="C154" s="17">
        <v>5734</v>
      </c>
      <c r="D154" s="17">
        <v>53254</v>
      </c>
      <c r="E154" s="17">
        <v>1007104</v>
      </c>
      <c r="F154" s="17">
        <v>781314</v>
      </c>
      <c r="G154" s="17">
        <v>3961</v>
      </c>
      <c r="H154" s="17">
        <v>32645</v>
      </c>
      <c r="I154" s="17">
        <v>66762</v>
      </c>
      <c r="J154" s="17"/>
      <c r="K154" s="17"/>
      <c r="L154" s="17"/>
      <c r="M154" s="17"/>
      <c r="N154" s="17"/>
      <c r="O154" s="17">
        <f t="shared" si="91"/>
        <v>1950774</v>
      </c>
    </row>
    <row r="155" spans="1:15" x14ac:dyDescent="0.2">
      <c r="A155" s="16" t="s">
        <v>73</v>
      </c>
      <c r="B155" s="16" t="s">
        <v>74</v>
      </c>
      <c r="C155" s="17">
        <v>162092</v>
      </c>
      <c r="D155" s="17">
        <v>46354</v>
      </c>
      <c r="E155" s="17">
        <v>37171</v>
      </c>
      <c r="F155" s="17">
        <v>119833</v>
      </c>
      <c r="G155" s="17">
        <v>103117</v>
      </c>
      <c r="H155" s="17">
        <v>138175</v>
      </c>
      <c r="I155" s="17">
        <v>122939</v>
      </c>
      <c r="J155" s="17"/>
      <c r="K155" s="17"/>
      <c r="L155" s="17"/>
      <c r="M155" s="17"/>
      <c r="N155" s="17"/>
      <c r="O155" s="17">
        <f t="shared" si="91"/>
        <v>729681</v>
      </c>
    </row>
    <row r="156" spans="1:15" x14ac:dyDescent="0.2">
      <c r="A156" s="16" t="s">
        <v>171</v>
      </c>
      <c r="B156" s="16" t="s">
        <v>172</v>
      </c>
      <c r="C156" s="17">
        <v>17500</v>
      </c>
      <c r="D156" s="17">
        <v>15500</v>
      </c>
      <c r="E156" s="17">
        <v>4000</v>
      </c>
      <c r="F156" s="17">
        <v>58000</v>
      </c>
      <c r="G156" s="17">
        <v>5100</v>
      </c>
      <c r="H156" s="17">
        <v>46000</v>
      </c>
      <c r="I156" s="17">
        <v>0</v>
      </c>
      <c r="J156" s="17"/>
      <c r="K156" s="17"/>
      <c r="L156" s="17"/>
      <c r="M156" s="17"/>
      <c r="N156" s="17"/>
      <c r="O156" s="17">
        <f t="shared" si="91"/>
        <v>146100</v>
      </c>
    </row>
    <row r="157" spans="1:15" x14ac:dyDescent="0.2">
      <c r="A157" s="16">
        <v>44960</v>
      </c>
      <c r="B157" s="16" t="s">
        <v>131</v>
      </c>
      <c r="C157" s="17">
        <v>10015</v>
      </c>
      <c r="D157" s="17">
        <v>24800</v>
      </c>
      <c r="E157" s="17">
        <v>24625</v>
      </c>
      <c r="F157" s="17">
        <v>39200</v>
      </c>
      <c r="G157" s="17">
        <v>35400</v>
      </c>
      <c r="H157" s="17">
        <v>11534</v>
      </c>
      <c r="I157" s="17">
        <v>9750</v>
      </c>
      <c r="J157" s="17"/>
      <c r="K157" s="17"/>
      <c r="L157" s="17"/>
      <c r="M157" s="17"/>
      <c r="N157" s="17"/>
      <c r="O157" s="17">
        <f t="shared" si="91"/>
        <v>155324</v>
      </c>
    </row>
    <row r="158" spans="1:15" x14ac:dyDescent="0.2">
      <c r="A158" s="16" t="s">
        <v>75</v>
      </c>
      <c r="B158" s="16" t="s">
        <v>76</v>
      </c>
      <c r="C158" s="17">
        <v>4539</v>
      </c>
      <c r="D158" s="17">
        <v>3725</v>
      </c>
      <c r="E158" s="17">
        <v>12943</v>
      </c>
      <c r="F158" s="17">
        <v>6306</v>
      </c>
      <c r="G158" s="17">
        <v>9090</v>
      </c>
      <c r="H158" s="17">
        <v>2349</v>
      </c>
      <c r="I158" s="17">
        <v>3681</v>
      </c>
      <c r="J158" s="17"/>
      <c r="K158" s="17"/>
      <c r="L158" s="17"/>
      <c r="M158" s="17"/>
      <c r="N158" s="17"/>
      <c r="O158" s="17">
        <f t="shared" si="91"/>
        <v>42633</v>
      </c>
    </row>
    <row r="159" spans="1:15" x14ac:dyDescent="0.2">
      <c r="A159" s="16" t="s">
        <v>77</v>
      </c>
      <c r="B159" s="16" t="s">
        <v>78</v>
      </c>
      <c r="C159" s="17">
        <v>46523</v>
      </c>
      <c r="D159" s="17">
        <v>105111</v>
      </c>
      <c r="E159" s="17">
        <v>41129</v>
      </c>
      <c r="F159" s="17">
        <v>145699</v>
      </c>
      <c r="G159" s="17">
        <v>38779</v>
      </c>
      <c r="H159" s="17">
        <v>72368</v>
      </c>
      <c r="I159" s="17">
        <v>66868</v>
      </c>
      <c r="J159" s="17"/>
      <c r="K159" s="17"/>
      <c r="L159" s="17"/>
      <c r="M159" s="17"/>
      <c r="N159" s="17"/>
      <c r="O159" s="17">
        <f t="shared" si="91"/>
        <v>516477</v>
      </c>
    </row>
    <row r="160" spans="1:15" x14ac:dyDescent="0.2">
      <c r="A160" s="16" t="s">
        <v>79</v>
      </c>
      <c r="B160" s="16" t="s">
        <v>80</v>
      </c>
      <c r="C160" s="17">
        <v>48434</v>
      </c>
      <c r="D160" s="17">
        <v>60999</v>
      </c>
      <c r="E160" s="17">
        <v>30012</v>
      </c>
      <c r="F160" s="17">
        <v>44335</v>
      </c>
      <c r="G160" s="17">
        <v>35357</v>
      </c>
      <c r="H160" s="17">
        <v>19944</v>
      </c>
      <c r="I160" s="17">
        <v>34775</v>
      </c>
      <c r="J160" s="17"/>
      <c r="K160" s="17"/>
      <c r="L160" s="17"/>
      <c r="M160" s="17"/>
      <c r="N160" s="17"/>
      <c r="O160" s="17">
        <f t="shared" si="91"/>
        <v>273856</v>
      </c>
    </row>
    <row r="161" spans="1:15" x14ac:dyDescent="0.2">
      <c r="A161" s="16" t="s">
        <v>81</v>
      </c>
      <c r="B161" s="16" t="s">
        <v>82</v>
      </c>
      <c r="C161" s="17">
        <v>918256</v>
      </c>
      <c r="D161" s="17">
        <v>595479</v>
      </c>
      <c r="E161" s="17">
        <v>906215</v>
      </c>
      <c r="F161" s="17">
        <v>1181202</v>
      </c>
      <c r="G161" s="17">
        <v>537626</v>
      </c>
      <c r="H161" s="17">
        <v>877048</v>
      </c>
      <c r="I161" s="17">
        <v>1043925</v>
      </c>
      <c r="J161" s="17"/>
      <c r="K161" s="17"/>
      <c r="L161" s="17"/>
      <c r="M161" s="17"/>
      <c r="N161" s="17"/>
      <c r="O161" s="17">
        <f t="shared" si="91"/>
        <v>6059751</v>
      </c>
    </row>
    <row r="162" spans="1:15" x14ac:dyDescent="0.2">
      <c r="A162" s="16" t="s">
        <v>83</v>
      </c>
      <c r="B162" s="16" t="s">
        <v>84</v>
      </c>
      <c r="C162" s="17">
        <v>584677</v>
      </c>
      <c r="D162" s="17">
        <v>1373916</v>
      </c>
      <c r="E162" s="17">
        <v>1083151</v>
      </c>
      <c r="F162" s="17">
        <v>1441918</v>
      </c>
      <c r="G162" s="17">
        <v>1527320</v>
      </c>
      <c r="H162" s="17">
        <v>1188954</v>
      </c>
      <c r="I162" s="17">
        <v>1960873</v>
      </c>
      <c r="J162" s="17"/>
      <c r="K162" s="17"/>
      <c r="L162" s="17"/>
      <c r="M162" s="17"/>
      <c r="N162" s="17"/>
      <c r="O162" s="17">
        <f t="shared" si="91"/>
        <v>9160809</v>
      </c>
    </row>
    <row r="163" spans="1:15" x14ac:dyDescent="0.2">
      <c r="A163" s="16" t="s">
        <v>85</v>
      </c>
      <c r="B163" s="16" t="s">
        <v>86</v>
      </c>
      <c r="C163" s="17">
        <v>5073</v>
      </c>
      <c r="D163" s="17"/>
      <c r="E163" s="17">
        <v>80</v>
      </c>
      <c r="F163" s="17">
        <v>5073</v>
      </c>
      <c r="G163" s="17">
        <v>0</v>
      </c>
      <c r="H163" s="17">
        <v>3392</v>
      </c>
      <c r="I163" s="17">
        <v>300</v>
      </c>
      <c r="J163" s="17"/>
      <c r="K163" s="17"/>
      <c r="L163" s="17"/>
      <c r="M163" s="17"/>
      <c r="N163" s="17"/>
      <c r="O163" s="17">
        <f t="shared" si="91"/>
        <v>13918</v>
      </c>
    </row>
    <row r="164" spans="1:15" x14ac:dyDescent="0.2">
      <c r="A164" s="16" t="s">
        <v>87</v>
      </c>
      <c r="B164" s="16" t="s">
        <v>88</v>
      </c>
      <c r="C164" s="17">
        <v>1770</v>
      </c>
      <c r="D164" s="17">
        <v>-404</v>
      </c>
      <c r="E164" s="17">
        <v>11555</v>
      </c>
      <c r="F164" s="17">
        <v>-9497</v>
      </c>
      <c r="G164" s="17">
        <v>9556</v>
      </c>
      <c r="H164" s="17">
        <v>19082</v>
      </c>
      <c r="I164" s="17">
        <v>8330</v>
      </c>
      <c r="J164" s="17"/>
      <c r="K164" s="17"/>
      <c r="L164" s="17"/>
      <c r="M164" s="17"/>
      <c r="N164" s="17"/>
      <c r="O164" s="17">
        <f t="shared" si="91"/>
        <v>40392</v>
      </c>
    </row>
    <row r="165" spans="1:15" x14ac:dyDescent="0.2">
      <c r="A165" s="16" t="s">
        <v>89</v>
      </c>
      <c r="B165" s="16" t="s">
        <v>90</v>
      </c>
      <c r="C165" s="17">
        <v>39371</v>
      </c>
      <c r="D165" s="17">
        <v>45616</v>
      </c>
      <c r="E165" s="17">
        <v>15975</v>
      </c>
      <c r="F165" s="17">
        <v>39483</v>
      </c>
      <c r="G165" s="17">
        <v>191853</v>
      </c>
      <c r="H165" s="17">
        <v>183750</v>
      </c>
      <c r="I165" s="17">
        <v>38117</v>
      </c>
      <c r="J165" s="17"/>
      <c r="K165" s="17"/>
      <c r="L165" s="17"/>
      <c r="M165" s="17"/>
      <c r="N165" s="17"/>
      <c r="O165" s="17">
        <f t="shared" si="91"/>
        <v>554165</v>
      </c>
    </row>
    <row r="166" spans="1:15" x14ac:dyDescent="0.2">
      <c r="A166" s="16" t="s">
        <v>91</v>
      </c>
      <c r="B166" s="16" t="s">
        <v>92</v>
      </c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>
        <f t="shared" si="91"/>
        <v>0</v>
      </c>
    </row>
    <row r="167" spans="1:15" x14ac:dyDescent="0.2">
      <c r="A167" s="16" t="s">
        <v>93</v>
      </c>
      <c r="B167" s="16" t="s">
        <v>94</v>
      </c>
      <c r="C167" s="17"/>
      <c r="D167" s="17"/>
      <c r="E167" s="17"/>
      <c r="F167" s="17">
        <v>0</v>
      </c>
      <c r="G167" s="17">
        <v>0</v>
      </c>
      <c r="H167" s="17"/>
      <c r="I167" s="17"/>
      <c r="J167" s="17"/>
      <c r="K167" s="17"/>
      <c r="L167" s="17"/>
      <c r="M167" s="17"/>
      <c r="N167" s="17"/>
      <c r="O167" s="17">
        <f t="shared" si="91"/>
        <v>0</v>
      </c>
    </row>
    <row r="168" spans="1:15" x14ac:dyDescent="0.2">
      <c r="A168" s="16" t="s">
        <v>180</v>
      </c>
      <c r="B168" s="16" t="s">
        <v>174</v>
      </c>
      <c r="F168" s="17"/>
      <c r="G168" s="17"/>
      <c r="H168" s="17"/>
      <c r="I168" s="17"/>
      <c r="J168" s="17"/>
      <c r="K168" s="17"/>
      <c r="L168" s="17"/>
      <c r="M168" s="17"/>
      <c r="N168" s="17"/>
    </row>
    <row r="169" spans="1:15" x14ac:dyDescent="0.2">
      <c r="A169" s="16" t="s">
        <v>95</v>
      </c>
      <c r="B169" s="16" t="s">
        <v>96</v>
      </c>
      <c r="C169" s="17"/>
      <c r="D169" s="17"/>
      <c r="E169" s="17"/>
      <c r="F169" s="17"/>
      <c r="G169" s="17"/>
      <c r="H169" s="17"/>
      <c r="I169" s="17">
        <v>267142</v>
      </c>
      <c r="J169" s="17"/>
      <c r="K169" s="17"/>
      <c r="L169" s="17"/>
      <c r="M169" s="17"/>
      <c r="N169" s="17"/>
      <c r="O169" s="17">
        <f>SUM(C169:N169)</f>
        <v>267142</v>
      </c>
    </row>
    <row r="170" spans="1:15" x14ac:dyDescent="0.2">
      <c r="A170" s="16" t="s">
        <v>97</v>
      </c>
      <c r="B170" s="16" t="s">
        <v>98</v>
      </c>
      <c r="C170" s="17"/>
      <c r="D170" s="17"/>
      <c r="E170" s="17"/>
      <c r="F170" s="17"/>
      <c r="G170" s="17"/>
      <c r="H170" s="17"/>
      <c r="I170" s="17">
        <v>9151</v>
      </c>
      <c r="J170" s="17"/>
      <c r="K170" s="17"/>
      <c r="L170" s="17"/>
      <c r="M170" s="17"/>
      <c r="N170" s="17"/>
      <c r="O170" s="17">
        <f>SUM(C170:N170)</f>
        <v>9151</v>
      </c>
    </row>
    <row r="171" spans="1:15" x14ac:dyDescent="0.2">
      <c r="A171" s="16" t="s">
        <v>133</v>
      </c>
      <c r="B171" s="16" t="s">
        <v>132</v>
      </c>
      <c r="C171" s="17"/>
      <c r="D171" s="17">
        <v>12812</v>
      </c>
      <c r="E171" s="17"/>
      <c r="F171" s="17">
        <v>18363</v>
      </c>
      <c r="G171" s="17">
        <v>-26919</v>
      </c>
      <c r="H171" s="17">
        <v>4500</v>
      </c>
      <c r="I171" s="17"/>
      <c r="J171" s="17"/>
      <c r="K171" s="17"/>
      <c r="L171" s="17"/>
      <c r="M171" s="17"/>
      <c r="N171" s="17"/>
      <c r="O171" s="17">
        <f>SUM(C171:N171)</f>
        <v>8756</v>
      </c>
    </row>
    <row r="172" spans="1:15" x14ac:dyDescent="0.2">
      <c r="A172" s="16" t="s">
        <v>99</v>
      </c>
      <c r="B172" s="16" t="s">
        <v>100</v>
      </c>
      <c r="C172" s="17">
        <v>14250</v>
      </c>
      <c r="D172" s="17"/>
      <c r="E172" s="17"/>
      <c r="F172" s="17">
        <v>14250</v>
      </c>
      <c r="G172" s="17"/>
      <c r="H172" s="17"/>
      <c r="I172" s="17"/>
      <c r="J172" s="17"/>
      <c r="K172" s="17"/>
      <c r="L172" s="17"/>
      <c r="M172" s="17"/>
      <c r="N172" s="17"/>
      <c r="O172" s="17">
        <f>SUM(C172:N172)</f>
        <v>28500</v>
      </c>
    </row>
    <row r="173" spans="1:15" x14ac:dyDescent="0.2">
      <c r="A173" s="16" t="s">
        <v>101</v>
      </c>
      <c r="B173" s="16" t="s">
        <v>102</v>
      </c>
      <c r="C173" s="17"/>
      <c r="D173" s="17"/>
      <c r="E173" s="17"/>
      <c r="F173" s="17">
        <v>0</v>
      </c>
      <c r="G173" s="17"/>
      <c r="H173" s="17"/>
      <c r="I173" s="17"/>
      <c r="J173" s="17"/>
      <c r="K173" s="17"/>
      <c r="L173" s="17"/>
      <c r="M173" s="17"/>
      <c r="N173" s="17"/>
      <c r="O173" s="17">
        <f>SUM(C173:N173)</f>
        <v>0</v>
      </c>
    </row>
    <row r="174" spans="1:15" ht="13.5" thickBot="1" x14ac:dyDescent="0.25">
      <c r="C174" s="19">
        <f t="shared" ref="C174:H174" si="92">SUM(C135:C173)</f>
        <v>25474048</v>
      </c>
      <c r="D174" s="19">
        <f t="shared" si="92"/>
        <v>40771572</v>
      </c>
      <c r="E174" s="19">
        <f t="shared" si="92"/>
        <v>28973528</v>
      </c>
      <c r="F174" s="19">
        <f t="shared" si="92"/>
        <v>31284298</v>
      </c>
      <c r="G174" s="19">
        <f t="shared" si="92"/>
        <v>28903834</v>
      </c>
      <c r="H174" s="19">
        <f t="shared" si="92"/>
        <v>26593570</v>
      </c>
      <c r="I174" s="19">
        <f t="shared" ref="I174:O174" si="93">SUM(I135:I173)</f>
        <v>34110347</v>
      </c>
      <c r="J174" s="19">
        <f t="shared" si="93"/>
        <v>0</v>
      </c>
      <c r="K174" s="19">
        <f t="shared" si="93"/>
        <v>0</v>
      </c>
      <c r="L174" s="19">
        <f t="shared" si="93"/>
        <v>0</v>
      </c>
      <c r="M174" s="19">
        <f t="shared" si="93"/>
        <v>0</v>
      </c>
      <c r="N174" s="19">
        <f t="shared" si="93"/>
        <v>0</v>
      </c>
      <c r="O174" s="19">
        <f t="shared" si="93"/>
        <v>216111197</v>
      </c>
    </row>
    <row r="175" spans="1:15" ht="13.5" thickTop="1" x14ac:dyDescent="0.2">
      <c r="B175" t="s">
        <v>173</v>
      </c>
      <c r="C175" s="17">
        <f>C174</f>
        <v>25474048</v>
      </c>
      <c r="D175" s="17">
        <f t="shared" ref="D175" si="94">C175+D174</f>
        <v>66245620</v>
      </c>
      <c r="E175" s="17">
        <f t="shared" ref="E175" si="95">D175+E174</f>
        <v>95219148</v>
      </c>
      <c r="F175" s="17">
        <f t="shared" ref="F175" si="96">E175+F174</f>
        <v>126503446</v>
      </c>
      <c r="G175" s="17">
        <f t="shared" ref="G175" si="97">F175+G174</f>
        <v>155407280</v>
      </c>
      <c r="H175" s="17">
        <f t="shared" ref="H175" si="98">G175+H174</f>
        <v>182000850</v>
      </c>
      <c r="I175" s="17">
        <f t="shared" ref="I175" si="99">H175+I174</f>
        <v>216111197</v>
      </c>
      <c r="J175" s="17">
        <f t="shared" ref="J175" si="100">I175+J174</f>
        <v>216111197</v>
      </c>
      <c r="K175" s="17">
        <f t="shared" ref="K175" si="101">J175+K174</f>
        <v>216111197</v>
      </c>
      <c r="L175" s="17">
        <f t="shared" ref="L175" si="102">K175+L174</f>
        <v>216111197</v>
      </c>
      <c r="M175" s="17">
        <f t="shared" ref="M175" si="103">L175+M174</f>
        <v>216111197</v>
      </c>
      <c r="N175" s="17">
        <f t="shared" ref="N175" si="104">M175+N174</f>
        <v>216111197</v>
      </c>
      <c r="O175" s="17"/>
    </row>
    <row r="176" spans="1:15" x14ac:dyDescent="0.2">
      <c r="B176" t="s">
        <v>104</v>
      </c>
      <c r="C176" s="17">
        <v>25474046</v>
      </c>
      <c r="D176" s="17">
        <v>66245618</v>
      </c>
      <c r="E176" s="17">
        <v>95219145</v>
      </c>
      <c r="F176" s="17">
        <v>126503441</v>
      </c>
      <c r="G176" s="17">
        <v>155407273</v>
      </c>
      <c r="H176" s="17">
        <v>182000841</v>
      </c>
      <c r="I176" s="17">
        <v>216111286</v>
      </c>
      <c r="J176" s="17"/>
      <c r="K176" s="17"/>
      <c r="L176" s="17"/>
      <c r="M176" s="17"/>
      <c r="N176" s="17"/>
    </row>
    <row r="177" spans="1:17" x14ac:dyDescent="0.2">
      <c r="B177" t="s">
        <v>105</v>
      </c>
      <c r="C177" s="17">
        <f>C176-C175</f>
        <v>-2</v>
      </c>
      <c r="D177" s="17">
        <f>D176-D175</f>
        <v>-2</v>
      </c>
      <c r="E177" s="17">
        <f>E176-E175</f>
        <v>-3</v>
      </c>
      <c r="F177" s="17">
        <f>F176-F175</f>
        <v>-5</v>
      </c>
      <c r="G177" s="17">
        <f t="shared" ref="G177:N177" si="105">G176-G175</f>
        <v>-7</v>
      </c>
      <c r="H177" s="17">
        <f t="shared" si="105"/>
        <v>-9</v>
      </c>
      <c r="I177" s="17">
        <f t="shared" si="105"/>
        <v>89</v>
      </c>
      <c r="J177" s="17">
        <f t="shared" si="105"/>
        <v>-216111197</v>
      </c>
      <c r="K177" s="17">
        <f t="shared" si="105"/>
        <v>-216111197</v>
      </c>
      <c r="L177" s="17">
        <f t="shared" si="105"/>
        <v>-216111197</v>
      </c>
      <c r="M177" s="17">
        <f t="shared" si="105"/>
        <v>-216111197</v>
      </c>
      <c r="N177" s="17">
        <f t="shared" si="105"/>
        <v>-216111197</v>
      </c>
    </row>
    <row r="179" spans="1:17" x14ac:dyDescent="0.2">
      <c r="B179" t="s">
        <v>193</v>
      </c>
      <c r="C179" s="17"/>
      <c r="D179" s="20"/>
      <c r="E179" s="20"/>
      <c r="F179" s="20"/>
      <c r="G179" s="20"/>
      <c r="H179" s="20"/>
      <c r="I179" s="20">
        <v>100</v>
      </c>
      <c r="J179" s="20"/>
      <c r="K179" s="20"/>
      <c r="L179" s="20"/>
    </row>
    <row r="184" spans="1:17" x14ac:dyDescent="0.2">
      <c r="C184" s="18">
        <v>41821</v>
      </c>
      <c r="D184" s="18">
        <v>41852</v>
      </c>
      <c r="E184" s="18">
        <v>41883</v>
      </c>
      <c r="F184" s="18">
        <v>41913</v>
      </c>
      <c r="G184" s="18">
        <v>41944</v>
      </c>
      <c r="H184" s="18">
        <v>41974</v>
      </c>
      <c r="I184" s="18">
        <v>42005</v>
      </c>
      <c r="J184" s="18">
        <v>42036</v>
      </c>
      <c r="K184" s="18">
        <v>42064</v>
      </c>
      <c r="L184" s="18">
        <v>42095</v>
      </c>
      <c r="M184" s="18">
        <v>42125</v>
      </c>
      <c r="N184" s="18">
        <v>42156</v>
      </c>
      <c r="O184" s="17" t="s">
        <v>206</v>
      </c>
    </row>
    <row r="185" spans="1:17" x14ac:dyDescent="0.2">
      <c r="A185" s="16" t="s">
        <v>33</v>
      </c>
      <c r="B185" s="16" t="s">
        <v>34</v>
      </c>
      <c r="C185" s="17">
        <v>19535627</v>
      </c>
      <c r="D185" s="17">
        <v>31036068</v>
      </c>
      <c r="E185" s="17">
        <v>20544989</v>
      </c>
      <c r="F185" s="17">
        <v>21688412</v>
      </c>
      <c r="G185" s="17">
        <v>20982599</v>
      </c>
      <c r="H185" s="17">
        <v>18894014</v>
      </c>
      <c r="I185" s="17">
        <v>25430883</v>
      </c>
      <c r="J185" s="17">
        <v>21662216</v>
      </c>
      <c r="K185" s="17">
        <v>21730197</v>
      </c>
      <c r="L185" s="17">
        <v>18829920</v>
      </c>
      <c r="M185" s="17">
        <v>21427757</v>
      </c>
      <c r="N185" s="17">
        <v>19918467</v>
      </c>
      <c r="O185" s="17">
        <f>SUM(C185:N185)</f>
        <v>261681149</v>
      </c>
      <c r="P185" s="17">
        <v>266859970</v>
      </c>
      <c r="Q185" s="17">
        <f>O185-P185</f>
        <v>-5178821</v>
      </c>
    </row>
    <row r="186" spans="1:17" x14ac:dyDescent="0.2">
      <c r="A186" s="16" t="s">
        <v>35</v>
      </c>
      <c r="B186" s="16" t="s">
        <v>36</v>
      </c>
      <c r="C186" s="17">
        <v>34739</v>
      </c>
      <c r="D186" s="17">
        <v>70968</v>
      </c>
      <c r="E186" s="17">
        <v>74802</v>
      </c>
      <c r="F186" s="17">
        <v>152385</v>
      </c>
      <c r="G186" s="17">
        <v>71871</v>
      </c>
      <c r="H186" s="17">
        <v>69885</v>
      </c>
      <c r="I186" s="17">
        <v>46959</v>
      </c>
      <c r="J186" s="17">
        <v>35264</v>
      </c>
      <c r="K186" s="17">
        <v>29889</v>
      </c>
      <c r="L186" s="17">
        <v>3926</v>
      </c>
      <c r="M186" s="17">
        <v>86296</v>
      </c>
      <c r="N186" s="17">
        <v>50832</v>
      </c>
      <c r="O186" s="17">
        <f>SUM(C186:N186)</f>
        <v>727816</v>
      </c>
      <c r="P186" s="17">
        <v>567327</v>
      </c>
      <c r="Q186" s="17">
        <f>O186-P186</f>
        <v>160489</v>
      </c>
    </row>
    <row r="187" spans="1:17" x14ac:dyDescent="0.2">
      <c r="A187" s="16" t="s">
        <v>37</v>
      </c>
      <c r="B187" s="16" t="s">
        <v>38</v>
      </c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>
        <v>0</v>
      </c>
      <c r="O187" s="17">
        <f t="shared" ref="O187:O217" si="106">SUM(C187:N187)</f>
        <v>0</v>
      </c>
      <c r="Q187" s="17">
        <f t="shared" ref="Q187:Q206" si="107">O187-P187</f>
        <v>0</v>
      </c>
    </row>
    <row r="188" spans="1:17" x14ac:dyDescent="0.2">
      <c r="A188" s="16" t="s">
        <v>39</v>
      </c>
      <c r="B188" s="16" t="s">
        <v>40</v>
      </c>
      <c r="C188" s="17">
        <v>155635</v>
      </c>
      <c r="D188" s="17">
        <v>330716</v>
      </c>
      <c r="E188" s="17">
        <v>219128</v>
      </c>
      <c r="F188" s="17">
        <v>214985</v>
      </c>
      <c r="G188" s="17">
        <v>201655</v>
      </c>
      <c r="H188" s="17">
        <v>219031</v>
      </c>
      <c r="I188" s="17">
        <v>251718</v>
      </c>
      <c r="J188" s="17">
        <v>229129</v>
      </c>
      <c r="K188" s="17">
        <v>219676</v>
      </c>
      <c r="L188" s="17">
        <v>204203</v>
      </c>
      <c r="M188" s="17">
        <v>215501</v>
      </c>
      <c r="N188" s="17">
        <v>233051</v>
      </c>
      <c r="O188" s="17">
        <f t="shared" si="106"/>
        <v>2694428</v>
      </c>
      <c r="P188" s="17">
        <v>2961946</v>
      </c>
      <c r="Q188" s="17">
        <f t="shared" si="107"/>
        <v>-267518</v>
      </c>
    </row>
    <row r="189" spans="1:17" x14ac:dyDescent="0.2">
      <c r="A189" s="16" t="s">
        <v>41</v>
      </c>
      <c r="B189" s="16" t="s">
        <v>42</v>
      </c>
      <c r="C189" s="17">
        <v>123302</v>
      </c>
      <c r="D189" s="17">
        <v>110997</v>
      </c>
      <c r="E189" s="17">
        <v>190390</v>
      </c>
      <c r="F189" s="17">
        <v>141348</v>
      </c>
      <c r="G189" s="17">
        <v>136711</v>
      </c>
      <c r="H189" s="17">
        <v>154090</v>
      </c>
      <c r="I189" s="17">
        <v>279792</v>
      </c>
      <c r="J189" s="17">
        <v>154069</v>
      </c>
      <c r="K189" s="17">
        <v>147548</v>
      </c>
      <c r="L189" s="17">
        <v>194382</v>
      </c>
      <c r="M189" s="17">
        <v>168439</v>
      </c>
      <c r="N189" s="17">
        <v>136879</v>
      </c>
      <c r="O189" s="17">
        <f t="shared" si="106"/>
        <v>1937947</v>
      </c>
      <c r="P189" s="17">
        <v>1843973</v>
      </c>
      <c r="Q189" s="17">
        <f t="shared" si="107"/>
        <v>93974</v>
      </c>
    </row>
    <row r="190" spans="1:17" x14ac:dyDescent="0.2">
      <c r="A190" s="16" t="s">
        <v>43</v>
      </c>
      <c r="B190" s="16" t="s">
        <v>44</v>
      </c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>
        <v>0</v>
      </c>
      <c r="O190" s="17">
        <f t="shared" si="106"/>
        <v>0</v>
      </c>
      <c r="P190" s="17">
        <v>5430</v>
      </c>
      <c r="Q190" s="17">
        <f t="shared" si="107"/>
        <v>-5430</v>
      </c>
    </row>
    <row r="191" spans="1:17" x14ac:dyDescent="0.2">
      <c r="A191" s="16" t="s">
        <v>45</v>
      </c>
      <c r="B191" s="16" t="s">
        <v>46</v>
      </c>
      <c r="C191" s="17">
        <v>3678951</v>
      </c>
      <c r="D191" s="17">
        <v>3690673</v>
      </c>
      <c r="E191" s="17">
        <v>4145401</v>
      </c>
      <c r="F191" s="17">
        <v>4047551</v>
      </c>
      <c r="G191" s="17">
        <v>2820337</v>
      </c>
      <c r="H191" s="17">
        <v>2918067</v>
      </c>
      <c r="I191" s="17">
        <v>3624108</v>
      </c>
      <c r="J191" s="17">
        <v>2752066</v>
      </c>
      <c r="K191" s="17">
        <v>4131696</v>
      </c>
      <c r="L191" s="17">
        <v>2761312</v>
      </c>
      <c r="M191" s="17">
        <v>3597105</v>
      </c>
      <c r="N191" s="17">
        <v>4685324</v>
      </c>
      <c r="O191" s="17">
        <f t="shared" si="106"/>
        <v>42852591</v>
      </c>
      <c r="P191" s="17">
        <v>43333279</v>
      </c>
      <c r="Q191" s="17">
        <f t="shared" si="107"/>
        <v>-480688</v>
      </c>
    </row>
    <row r="192" spans="1:17" x14ac:dyDescent="0.2">
      <c r="A192" s="16" t="s">
        <v>47</v>
      </c>
      <c r="B192" s="16" t="s">
        <v>48</v>
      </c>
      <c r="C192" s="17">
        <v>94529</v>
      </c>
      <c r="D192" s="17">
        <v>131157</v>
      </c>
      <c r="E192" s="17">
        <v>251138</v>
      </c>
      <c r="F192" s="17">
        <v>325874</v>
      </c>
      <c r="G192" s="17">
        <v>97415</v>
      </c>
      <c r="H192" s="17">
        <v>137162</v>
      </c>
      <c r="I192" s="17">
        <v>159115</v>
      </c>
      <c r="J192" s="17">
        <v>482670</v>
      </c>
      <c r="K192" s="17">
        <v>354208</v>
      </c>
      <c r="L192" s="17">
        <v>279101</v>
      </c>
      <c r="M192" s="17">
        <v>248619</v>
      </c>
      <c r="N192" s="17">
        <v>372728</v>
      </c>
      <c r="O192" s="17">
        <f t="shared" si="106"/>
        <v>2933716</v>
      </c>
      <c r="P192" s="17">
        <v>3131962</v>
      </c>
      <c r="Q192" s="17">
        <f t="shared" si="107"/>
        <v>-198246</v>
      </c>
    </row>
    <row r="193" spans="1:17" x14ac:dyDescent="0.2">
      <c r="A193" s="16" t="s">
        <v>49</v>
      </c>
      <c r="B193" s="16" t="s">
        <v>50</v>
      </c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>
        <f t="shared" si="106"/>
        <v>0</v>
      </c>
      <c r="Q193" s="17">
        <f t="shared" si="107"/>
        <v>0</v>
      </c>
    </row>
    <row r="194" spans="1:17" x14ac:dyDescent="0.2">
      <c r="A194" s="16" t="s">
        <v>51</v>
      </c>
      <c r="B194" s="16" t="s">
        <v>52</v>
      </c>
      <c r="C194" s="17">
        <v>1005345</v>
      </c>
      <c r="D194" s="17">
        <v>1725089</v>
      </c>
      <c r="E194" s="17">
        <v>1549542</v>
      </c>
      <c r="F194" s="17">
        <v>1243129</v>
      </c>
      <c r="G194" s="17">
        <v>1647356</v>
      </c>
      <c r="H194" s="17">
        <v>1158446</v>
      </c>
      <c r="I194" s="17">
        <v>778314</v>
      </c>
      <c r="J194" s="17">
        <v>540957</v>
      </c>
      <c r="K194" s="17">
        <v>914032</v>
      </c>
      <c r="L194" s="17">
        <v>696065</v>
      </c>
      <c r="M194" s="17">
        <v>752478</v>
      </c>
      <c r="N194" s="17">
        <v>3177525</v>
      </c>
      <c r="O194" s="17">
        <f t="shared" si="106"/>
        <v>15188278</v>
      </c>
      <c r="P194" s="17">
        <v>13879120</v>
      </c>
      <c r="Q194" s="17">
        <f t="shared" si="107"/>
        <v>1309158</v>
      </c>
    </row>
    <row r="195" spans="1:17" x14ac:dyDescent="0.2">
      <c r="A195" s="16" t="s">
        <v>53</v>
      </c>
      <c r="B195" s="16" t="s">
        <v>54</v>
      </c>
      <c r="C195" s="17">
        <v>107672</v>
      </c>
      <c r="D195" s="17">
        <v>178810</v>
      </c>
      <c r="E195" s="17">
        <v>164173</v>
      </c>
      <c r="F195" s="17">
        <v>276350</v>
      </c>
      <c r="G195" s="17">
        <v>396745</v>
      </c>
      <c r="H195" s="17">
        <v>209431</v>
      </c>
      <c r="I195" s="17">
        <v>155377</v>
      </c>
      <c r="J195" s="17">
        <v>215439</v>
      </c>
      <c r="K195" s="17">
        <v>299236</v>
      </c>
      <c r="L195" s="17">
        <v>316770</v>
      </c>
      <c r="M195" s="17">
        <v>268324</v>
      </c>
      <c r="N195" s="17">
        <v>352761</v>
      </c>
      <c r="O195" s="17">
        <f t="shared" si="106"/>
        <v>2941088</v>
      </c>
      <c r="P195" s="17">
        <v>2991851</v>
      </c>
      <c r="Q195" s="17">
        <f t="shared" si="107"/>
        <v>-50763</v>
      </c>
    </row>
    <row r="196" spans="1:17" x14ac:dyDescent="0.2">
      <c r="A196" s="16" t="s">
        <v>55</v>
      </c>
      <c r="B196" s="16" t="s">
        <v>56</v>
      </c>
      <c r="C196" s="17">
        <v>178139</v>
      </c>
      <c r="D196" s="17">
        <v>250439</v>
      </c>
      <c r="E196" s="17">
        <v>291021</v>
      </c>
      <c r="F196" s="17">
        <v>272418</v>
      </c>
      <c r="G196" s="17">
        <v>147377</v>
      </c>
      <c r="H196" s="17">
        <v>222806</v>
      </c>
      <c r="I196" s="17">
        <v>348348</v>
      </c>
      <c r="J196" s="17">
        <v>160417</v>
      </c>
      <c r="K196" s="17">
        <v>721084</v>
      </c>
      <c r="L196" s="17">
        <v>363705</v>
      </c>
      <c r="M196" s="17">
        <v>316195</v>
      </c>
      <c r="N196" s="17">
        <v>331289</v>
      </c>
      <c r="O196" s="17">
        <f t="shared" si="106"/>
        <v>3603238</v>
      </c>
      <c r="P196" s="17">
        <v>3333966</v>
      </c>
      <c r="Q196" s="17">
        <f t="shared" si="107"/>
        <v>269272</v>
      </c>
    </row>
    <row r="197" spans="1:17" x14ac:dyDescent="0.2">
      <c r="A197" s="16" t="s">
        <v>57</v>
      </c>
      <c r="B197" s="16" t="s">
        <v>58</v>
      </c>
      <c r="C197" s="17">
        <v>66166</v>
      </c>
      <c r="D197" s="17">
        <v>136975</v>
      </c>
      <c r="E197" s="17">
        <v>172639</v>
      </c>
      <c r="F197" s="17">
        <v>157745</v>
      </c>
      <c r="G197" s="17">
        <v>144811</v>
      </c>
      <c r="H197" s="17">
        <v>104210</v>
      </c>
      <c r="I197" s="17">
        <v>161109</v>
      </c>
      <c r="J197" s="17">
        <v>67037</v>
      </c>
      <c r="K197" s="17">
        <v>223316</v>
      </c>
      <c r="L197" s="17">
        <v>159174</v>
      </c>
      <c r="M197" s="17">
        <v>120823</v>
      </c>
      <c r="N197" s="17">
        <v>261945</v>
      </c>
      <c r="O197" s="17">
        <f t="shared" si="106"/>
        <v>1775950</v>
      </c>
      <c r="P197" s="17">
        <v>1336835</v>
      </c>
      <c r="Q197" s="17">
        <f t="shared" si="107"/>
        <v>439115</v>
      </c>
    </row>
    <row r="198" spans="1:17" x14ac:dyDescent="0.2">
      <c r="A198" s="16" t="s">
        <v>59</v>
      </c>
      <c r="B198" s="16" t="s">
        <v>60</v>
      </c>
      <c r="C198" s="17">
        <v>1110</v>
      </c>
      <c r="D198" s="17">
        <v>0</v>
      </c>
      <c r="E198" s="17">
        <v>2220</v>
      </c>
      <c r="F198" s="17">
        <v>1110</v>
      </c>
      <c r="G198" s="17">
        <v>1110</v>
      </c>
      <c r="H198" s="17">
        <v>1110</v>
      </c>
      <c r="I198" s="17">
        <v>396</v>
      </c>
      <c r="J198" s="17">
        <v>3588</v>
      </c>
      <c r="K198" s="17">
        <v>3966</v>
      </c>
      <c r="L198" s="17">
        <v>1110</v>
      </c>
      <c r="M198" s="17">
        <v>12650</v>
      </c>
      <c r="N198" s="17">
        <v>3632</v>
      </c>
      <c r="O198" s="17">
        <f t="shared" si="106"/>
        <v>32002</v>
      </c>
      <c r="P198" s="17">
        <v>28306</v>
      </c>
      <c r="Q198" s="17">
        <f t="shared" si="107"/>
        <v>3696</v>
      </c>
    </row>
    <row r="199" spans="1:17" x14ac:dyDescent="0.2">
      <c r="A199" s="16" t="s">
        <v>61</v>
      </c>
      <c r="B199" s="16" t="s">
        <v>62</v>
      </c>
      <c r="C199" s="17"/>
      <c r="D199" s="17">
        <v>-202</v>
      </c>
      <c r="E199" s="17">
        <v>0</v>
      </c>
      <c r="F199" s="17">
        <v>0</v>
      </c>
      <c r="G199" s="17"/>
      <c r="H199" s="17">
        <v>916</v>
      </c>
      <c r="I199" s="17">
        <v>0</v>
      </c>
      <c r="J199" s="17"/>
      <c r="K199" s="17">
        <v>0</v>
      </c>
      <c r="L199" s="17">
        <v>10000</v>
      </c>
      <c r="M199" s="17"/>
      <c r="N199" s="17">
        <v>0</v>
      </c>
      <c r="O199" s="17">
        <f t="shared" si="106"/>
        <v>10714</v>
      </c>
      <c r="P199" s="17">
        <v>4312</v>
      </c>
      <c r="Q199" s="17">
        <f t="shared" si="107"/>
        <v>6402</v>
      </c>
    </row>
    <row r="200" spans="1:17" x14ac:dyDescent="0.2">
      <c r="A200" s="16" t="s">
        <v>63</v>
      </c>
      <c r="B200" s="16" t="s">
        <v>64</v>
      </c>
      <c r="C200" s="17">
        <v>94081</v>
      </c>
      <c r="D200" s="17">
        <v>94082</v>
      </c>
      <c r="E200" s="17">
        <v>94010</v>
      </c>
      <c r="F200" s="17">
        <v>94082</v>
      </c>
      <c r="G200" s="17">
        <v>94082</v>
      </c>
      <c r="H200" s="17">
        <v>3250</v>
      </c>
      <c r="I200" s="17">
        <v>188162</v>
      </c>
      <c r="J200" s="17">
        <v>94081</v>
      </c>
      <c r="K200" s="17">
        <v>94081</v>
      </c>
      <c r="L200" s="17">
        <v>84370</v>
      </c>
      <c r="M200" s="17">
        <v>94081</v>
      </c>
      <c r="N200" s="17">
        <v>94081</v>
      </c>
      <c r="O200" s="17">
        <f t="shared" si="106"/>
        <v>1122443</v>
      </c>
      <c r="P200" s="17">
        <v>1128023</v>
      </c>
      <c r="Q200" s="17">
        <f t="shared" si="107"/>
        <v>-5580</v>
      </c>
    </row>
    <row r="201" spans="1:17" x14ac:dyDescent="0.2">
      <c r="A201" s="16" t="s">
        <v>65</v>
      </c>
      <c r="B201" s="16" t="s">
        <v>66</v>
      </c>
      <c r="F201" s="17"/>
      <c r="G201" s="17"/>
      <c r="H201" s="17"/>
      <c r="I201" s="17"/>
      <c r="J201" s="17"/>
      <c r="K201" s="17"/>
      <c r="L201" s="17"/>
      <c r="M201" s="17"/>
      <c r="N201" s="17"/>
      <c r="O201" s="17">
        <f t="shared" si="106"/>
        <v>0</v>
      </c>
      <c r="Q201" s="17">
        <f t="shared" si="107"/>
        <v>0</v>
      </c>
    </row>
    <row r="202" spans="1:17" x14ac:dyDescent="0.2">
      <c r="A202" s="16" t="s">
        <v>67</v>
      </c>
      <c r="B202" s="16" t="s">
        <v>68</v>
      </c>
      <c r="C202" s="17">
        <v>4877</v>
      </c>
      <c r="D202" s="17">
        <v>38886</v>
      </c>
      <c r="E202" s="17">
        <v>-1581</v>
      </c>
      <c r="F202" s="17">
        <v>8624</v>
      </c>
      <c r="G202" s="17">
        <v>4218</v>
      </c>
      <c r="H202" s="17">
        <v>10407</v>
      </c>
      <c r="I202" s="17">
        <v>2713</v>
      </c>
      <c r="J202" s="17">
        <v>29558</v>
      </c>
      <c r="K202" s="17">
        <v>12126</v>
      </c>
      <c r="L202" s="17">
        <v>6161</v>
      </c>
      <c r="M202" s="17">
        <v>20374</v>
      </c>
      <c r="N202" s="17">
        <v>8785</v>
      </c>
      <c r="O202" s="93">
        <f t="shared" si="106"/>
        <v>145148</v>
      </c>
      <c r="P202" s="17">
        <v>82012</v>
      </c>
      <c r="Q202" s="17">
        <f t="shared" si="107"/>
        <v>63136</v>
      </c>
    </row>
    <row r="203" spans="1:17" x14ac:dyDescent="0.2">
      <c r="A203" s="16" t="s">
        <v>69</v>
      </c>
      <c r="B203" s="16" t="s">
        <v>70</v>
      </c>
      <c r="C203" s="17">
        <v>33790</v>
      </c>
      <c r="D203" s="17">
        <v>30594</v>
      </c>
      <c r="E203" s="17">
        <v>52433</v>
      </c>
      <c r="F203" s="17">
        <v>32961</v>
      </c>
      <c r="G203" s="17">
        <v>16654</v>
      </c>
      <c r="H203" s="17">
        <v>50232</v>
      </c>
      <c r="I203" s="17">
        <v>12422</v>
      </c>
      <c r="J203" s="17">
        <v>37968</v>
      </c>
      <c r="K203" s="17">
        <v>41854</v>
      </c>
      <c r="L203" s="17">
        <v>41632</v>
      </c>
      <c r="M203" s="17">
        <v>147462</v>
      </c>
      <c r="N203" s="17">
        <v>177547</v>
      </c>
      <c r="O203" s="17">
        <f t="shared" si="106"/>
        <v>675549</v>
      </c>
      <c r="P203" s="17">
        <v>747930</v>
      </c>
      <c r="Q203" s="17">
        <f t="shared" si="107"/>
        <v>-72381</v>
      </c>
    </row>
    <row r="204" spans="1:17" x14ac:dyDescent="0.2">
      <c r="A204" s="16" t="s">
        <v>71</v>
      </c>
      <c r="B204" s="16" t="s">
        <v>72</v>
      </c>
      <c r="C204" s="17">
        <v>328837</v>
      </c>
      <c r="D204" s="17">
        <v>795</v>
      </c>
      <c r="E204" s="17">
        <v>3724</v>
      </c>
      <c r="F204" s="17">
        <v>6800</v>
      </c>
      <c r="G204" s="17">
        <v>36048</v>
      </c>
      <c r="H204" s="17">
        <v>13925</v>
      </c>
      <c r="I204" s="17">
        <v>18588</v>
      </c>
      <c r="J204" s="17">
        <v>14685</v>
      </c>
      <c r="K204" s="17">
        <v>22654</v>
      </c>
      <c r="L204" s="17">
        <v>37105</v>
      </c>
      <c r="M204" s="17">
        <v>54484</v>
      </c>
      <c r="N204" s="17">
        <v>1173843</v>
      </c>
      <c r="O204" s="17">
        <f t="shared" si="106"/>
        <v>1711488</v>
      </c>
      <c r="P204" s="17">
        <v>449779</v>
      </c>
      <c r="Q204" s="17">
        <f t="shared" si="107"/>
        <v>1261709</v>
      </c>
    </row>
    <row r="205" spans="1:17" x14ac:dyDescent="0.2">
      <c r="A205" s="16" t="s">
        <v>73</v>
      </c>
      <c r="B205" s="16" t="s">
        <v>74</v>
      </c>
      <c r="C205" s="17">
        <v>640990</v>
      </c>
      <c r="D205" s="17">
        <v>172495</v>
      </c>
      <c r="E205" s="17">
        <v>114340</v>
      </c>
      <c r="F205" s="17">
        <v>82495</v>
      </c>
      <c r="G205" s="17">
        <v>48644</v>
      </c>
      <c r="H205" s="17">
        <v>155835</v>
      </c>
      <c r="I205" s="17">
        <v>103830</v>
      </c>
      <c r="J205" s="17">
        <v>111714</v>
      </c>
      <c r="K205" s="17">
        <v>126216</v>
      </c>
      <c r="L205" s="17">
        <v>190000</v>
      </c>
      <c r="M205" s="17">
        <v>128578</v>
      </c>
      <c r="N205" s="17">
        <v>639189</v>
      </c>
      <c r="O205" s="17">
        <f t="shared" si="106"/>
        <v>2514326</v>
      </c>
      <c r="P205" s="17">
        <v>1570985</v>
      </c>
      <c r="Q205" s="17">
        <f t="shared" si="107"/>
        <v>943341</v>
      </c>
    </row>
    <row r="206" spans="1:17" x14ac:dyDescent="0.2">
      <c r="A206" s="16" t="s">
        <v>171</v>
      </c>
      <c r="B206" s="16" t="s">
        <v>172</v>
      </c>
      <c r="C206" s="17">
        <v>3000</v>
      </c>
      <c r="D206" s="17">
        <v>0</v>
      </c>
      <c r="E206" s="17">
        <v>41000</v>
      </c>
      <c r="F206" s="17">
        <v>27000</v>
      </c>
      <c r="G206" s="17">
        <v>25000</v>
      </c>
      <c r="H206" s="17">
        <v>4200</v>
      </c>
      <c r="I206" s="17">
        <v>45000</v>
      </c>
      <c r="J206" s="17">
        <v>11750</v>
      </c>
      <c r="K206" s="17">
        <v>16000</v>
      </c>
      <c r="L206" s="17">
        <v>11000</v>
      </c>
      <c r="M206" s="17">
        <v>10500</v>
      </c>
      <c r="N206" s="17">
        <v>3000</v>
      </c>
      <c r="O206" s="17">
        <f t="shared" si="106"/>
        <v>197450</v>
      </c>
      <c r="P206" s="17">
        <v>178596</v>
      </c>
      <c r="Q206" s="17">
        <f t="shared" si="107"/>
        <v>18854</v>
      </c>
    </row>
    <row r="207" spans="1:17" x14ac:dyDescent="0.2">
      <c r="A207" s="16">
        <v>44960</v>
      </c>
      <c r="B207" s="16" t="s">
        <v>131</v>
      </c>
      <c r="C207" s="17">
        <v>20200</v>
      </c>
      <c r="D207" s="17">
        <v>15000</v>
      </c>
      <c r="E207" s="17">
        <v>24500</v>
      </c>
      <c r="F207" s="17">
        <v>24000</v>
      </c>
      <c r="G207" s="17">
        <v>14000</v>
      </c>
      <c r="H207" s="17">
        <v>40500</v>
      </c>
      <c r="I207" s="17">
        <v>26000</v>
      </c>
      <c r="J207" s="17">
        <v>46000</v>
      </c>
      <c r="K207" s="17">
        <v>23250</v>
      </c>
      <c r="L207" s="17">
        <v>27500</v>
      </c>
      <c r="M207" s="17">
        <v>28200</v>
      </c>
      <c r="N207" s="17">
        <v>9500</v>
      </c>
      <c r="O207" s="17">
        <f t="shared" si="106"/>
        <v>298650</v>
      </c>
      <c r="P207" s="17">
        <v>271100</v>
      </c>
      <c r="Q207" s="17">
        <f>O207-P207</f>
        <v>27550</v>
      </c>
    </row>
    <row r="208" spans="1:17" x14ac:dyDescent="0.2">
      <c r="A208" s="16" t="s">
        <v>75</v>
      </c>
      <c r="B208" s="16" t="s">
        <v>76</v>
      </c>
      <c r="C208" s="17">
        <v>1936</v>
      </c>
      <c r="D208" s="17">
        <v>5480</v>
      </c>
      <c r="E208" s="17">
        <v>3868</v>
      </c>
      <c r="F208" s="17">
        <v>1469</v>
      </c>
      <c r="G208" s="17">
        <v>5318</v>
      </c>
      <c r="H208" s="17">
        <v>3591</v>
      </c>
      <c r="I208" s="17">
        <v>3104</v>
      </c>
      <c r="J208" s="17">
        <v>7909</v>
      </c>
      <c r="K208" s="17">
        <v>10528</v>
      </c>
      <c r="L208" s="17">
        <v>5261</v>
      </c>
      <c r="M208" s="17">
        <v>3122</v>
      </c>
      <c r="N208" s="17">
        <v>4564</v>
      </c>
      <c r="O208" s="17">
        <f t="shared" si="106"/>
        <v>56150</v>
      </c>
      <c r="P208" s="17">
        <v>83943</v>
      </c>
      <c r="Q208" s="17">
        <f>O208-P208</f>
        <v>-27793</v>
      </c>
    </row>
    <row r="209" spans="1:17" x14ac:dyDescent="0.2">
      <c r="A209" s="16" t="s">
        <v>77</v>
      </c>
      <c r="B209" s="16" t="s">
        <v>78</v>
      </c>
      <c r="C209" s="17">
        <v>19987</v>
      </c>
      <c r="D209" s="17">
        <v>27499</v>
      </c>
      <c r="E209" s="17">
        <v>45921</v>
      </c>
      <c r="F209" s="17">
        <v>105576</v>
      </c>
      <c r="G209" s="17">
        <v>58009</v>
      </c>
      <c r="H209" s="17">
        <v>56378</v>
      </c>
      <c r="I209" s="17">
        <v>77643</v>
      </c>
      <c r="J209" s="17">
        <v>27814</v>
      </c>
      <c r="K209" s="17">
        <v>186570</v>
      </c>
      <c r="L209" s="17">
        <v>66186</v>
      </c>
      <c r="M209" s="17">
        <v>142433</v>
      </c>
      <c r="N209" s="17">
        <v>276462</v>
      </c>
      <c r="O209" s="17">
        <f t="shared" si="106"/>
        <v>1090478</v>
      </c>
      <c r="P209" s="17">
        <v>583063</v>
      </c>
      <c r="Q209" s="17">
        <f>O209-P209</f>
        <v>507415</v>
      </c>
    </row>
    <row r="210" spans="1:17" x14ac:dyDescent="0.2">
      <c r="A210" s="16" t="s">
        <v>79</v>
      </c>
      <c r="B210" s="16" t="s">
        <v>80</v>
      </c>
      <c r="C210" s="17">
        <v>44811</v>
      </c>
      <c r="D210" s="17">
        <v>23745</v>
      </c>
      <c r="E210" s="17">
        <v>28023</v>
      </c>
      <c r="F210" s="17">
        <v>47368</v>
      </c>
      <c r="G210" s="17">
        <v>30253</v>
      </c>
      <c r="H210" s="17">
        <v>28372</v>
      </c>
      <c r="I210" s="17">
        <v>35986</v>
      </c>
      <c r="J210" s="17">
        <v>23509</v>
      </c>
      <c r="K210" s="17">
        <v>51909</v>
      </c>
      <c r="L210" s="17">
        <v>34536</v>
      </c>
      <c r="M210" s="17">
        <v>43104</v>
      </c>
      <c r="N210" s="17">
        <v>77789</v>
      </c>
      <c r="O210" s="17">
        <f t="shared" si="106"/>
        <v>469405</v>
      </c>
      <c r="P210" s="17">
        <v>379400</v>
      </c>
      <c r="Q210" s="17">
        <f>O210-P210</f>
        <v>90005</v>
      </c>
    </row>
    <row r="211" spans="1:17" x14ac:dyDescent="0.2">
      <c r="A211" s="16" t="s">
        <v>81</v>
      </c>
      <c r="B211" s="16" t="s">
        <v>82</v>
      </c>
      <c r="C211" s="17">
        <v>690906</v>
      </c>
      <c r="D211" s="17">
        <v>845119</v>
      </c>
      <c r="E211" s="17">
        <v>1635727</v>
      </c>
      <c r="F211" s="17">
        <v>970704</v>
      </c>
      <c r="G211" s="17">
        <v>732258</v>
      </c>
      <c r="H211" s="17">
        <v>1124700</v>
      </c>
      <c r="I211" s="17">
        <v>830308</v>
      </c>
      <c r="J211" s="17">
        <v>801660</v>
      </c>
      <c r="K211" s="17">
        <v>985358</v>
      </c>
      <c r="L211" s="17">
        <v>956762</v>
      </c>
      <c r="M211" s="17">
        <v>1170474</v>
      </c>
      <c r="N211" s="17">
        <v>2065853</v>
      </c>
      <c r="O211" s="17">
        <f t="shared" si="106"/>
        <v>12809829</v>
      </c>
      <c r="P211" s="17">
        <v>11490582</v>
      </c>
      <c r="Q211" s="17">
        <f t="shared" ref="Q211:Q217" si="108">O211-P211</f>
        <v>1319247</v>
      </c>
    </row>
    <row r="212" spans="1:17" x14ac:dyDescent="0.2">
      <c r="A212" s="16" t="s">
        <v>83</v>
      </c>
      <c r="B212" s="16" t="s">
        <v>84</v>
      </c>
      <c r="C212" s="17">
        <v>547898</v>
      </c>
      <c r="D212" s="17">
        <v>833512</v>
      </c>
      <c r="E212" s="17">
        <v>1359347</v>
      </c>
      <c r="F212" s="17">
        <v>1121024</v>
      </c>
      <c r="G212" s="17">
        <v>1186906</v>
      </c>
      <c r="H212" s="17">
        <v>1301599</v>
      </c>
      <c r="I212" s="17">
        <v>1551530</v>
      </c>
      <c r="J212" s="17">
        <v>1551704</v>
      </c>
      <c r="K212" s="17">
        <v>1892099</v>
      </c>
      <c r="L212" s="17">
        <v>1463080</v>
      </c>
      <c r="M212" s="17">
        <v>2063719</v>
      </c>
      <c r="N212" s="17">
        <v>2118547</v>
      </c>
      <c r="O212" s="17">
        <f t="shared" si="106"/>
        <v>16990965</v>
      </c>
      <c r="P212" s="17">
        <v>16189685</v>
      </c>
      <c r="Q212" s="17">
        <f t="shared" si="108"/>
        <v>801280</v>
      </c>
    </row>
    <row r="213" spans="1:17" x14ac:dyDescent="0.2">
      <c r="A213" s="16" t="s">
        <v>85</v>
      </c>
      <c r="B213" s="16" t="s">
        <v>86</v>
      </c>
      <c r="C213" s="17">
        <v>5073</v>
      </c>
      <c r="D213" s="17">
        <v>525</v>
      </c>
      <c r="E213" s="17">
        <v>5073</v>
      </c>
      <c r="F213" s="17">
        <v>0</v>
      </c>
      <c r="G213" s="17"/>
      <c r="H213" s="17">
        <v>0</v>
      </c>
      <c r="I213" s="17">
        <v>300</v>
      </c>
      <c r="J213" s="17">
        <v>0</v>
      </c>
      <c r="K213" s="17">
        <v>5073</v>
      </c>
      <c r="L213" s="17">
        <v>5073</v>
      </c>
      <c r="M213" s="17">
        <v>100</v>
      </c>
      <c r="N213" s="17">
        <v>450</v>
      </c>
      <c r="O213" s="17">
        <f t="shared" si="106"/>
        <v>21667</v>
      </c>
      <c r="P213" s="17">
        <v>32839</v>
      </c>
      <c r="Q213" s="17">
        <f t="shared" si="108"/>
        <v>-11172</v>
      </c>
    </row>
    <row r="214" spans="1:17" x14ac:dyDescent="0.2">
      <c r="A214" s="16" t="s">
        <v>87</v>
      </c>
      <c r="B214" s="16" t="s">
        <v>88</v>
      </c>
      <c r="C214" s="17">
        <v>-5995</v>
      </c>
      <c r="D214" s="17">
        <v>-7422</v>
      </c>
      <c r="E214" s="17">
        <v>26246</v>
      </c>
      <c r="F214" s="17">
        <v>-12568</v>
      </c>
      <c r="G214" s="17">
        <v>-17138</v>
      </c>
      <c r="H214" s="17">
        <v>-6076</v>
      </c>
      <c r="I214" s="17">
        <v>-14136</v>
      </c>
      <c r="J214" s="17">
        <v>21360</v>
      </c>
      <c r="K214" s="17">
        <v>-4051</v>
      </c>
      <c r="L214" s="17">
        <v>-2701</v>
      </c>
      <c r="M214" s="17">
        <v>-18039</v>
      </c>
      <c r="N214" s="17">
        <v>78999</v>
      </c>
      <c r="O214" s="17">
        <f t="shared" si="106"/>
        <v>38479</v>
      </c>
      <c r="P214" s="17">
        <v>-74850</v>
      </c>
      <c r="Q214" s="17">
        <f t="shared" si="108"/>
        <v>113329</v>
      </c>
    </row>
    <row r="215" spans="1:17" x14ac:dyDescent="0.2">
      <c r="A215" s="16" t="s">
        <v>89</v>
      </c>
      <c r="B215" s="16" t="s">
        <v>90</v>
      </c>
      <c r="C215" s="17">
        <v>8112</v>
      </c>
      <c r="D215" s="17">
        <v>81040</v>
      </c>
      <c r="E215" s="17">
        <v>66534</v>
      </c>
      <c r="F215" s="17">
        <v>153912</v>
      </c>
      <c r="G215" s="17">
        <v>94781</v>
      </c>
      <c r="H215" s="17">
        <v>145337</v>
      </c>
      <c r="I215" s="17">
        <v>50748</v>
      </c>
      <c r="J215" s="17">
        <v>34079</v>
      </c>
      <c r="K215" s="17">
        <v>37416</v>
      </c>
      <c r="L215" s="17">
        <v>24887</v>
      </c>
      <c r="M215" s="17">
        <v>384324</v>
      </c>
      <c r="N215" s="17">
        <v>55730</v>
      </c>
      <c r="O215" s="17">
        <f t="shared" si="106"/>
        <v>1136900</v>
      </c>
      <c r="P215" s="17">
        <v>893620</v>
      </c>
      <c r="Q215" s="17">
        <f t="shared" si="108"/>
        <v>243280</v>
      </c>
    </row>
    <row r="216" spans="1:17" x14ac:dyDescent="0.2">
      <c r="A216" s="16" t="s">
        <v>91</v>
      </c>
      <c r="B216" s="16" t="s">
        <v>92</v>
      </c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>
        <f t="shared" si="106"/>
        <v>0</v>
      </c>
      <c r="Q216" s="17">
        <f t="shared" si="108"/>
        <v>0</v>
      </c>
    </row>
    <row r="217" spans="1:17" x14ac:dyDescent="0.2">
      <c r="A217" s="16" t="s">
        <v>93</v>
      </c>
      <c r="B217" s="16" t="s">
        <v>94</v>
      </c>
      <c r="C217" s="17">
        <v>0</v>
      </c>
      <c r="D217" s="17">
        <v>0</v>
      </c>
      <c r="E217" s="17"/>
      <c r="F217" s="17"/>
      <c r="G217" s="17"/>
      <c r="H217" s="17">
        <v>560</v>
      </c>
      <c r="I217" s="17">
        <v>1265</v>
      </c>
      <c r="J217" s="17">
        <v>-1207</v>
      </c>
      <c r="K217" s="17">
        <v>5</v>
      </c>
      <c r="L217" s="17">
        <v>217</v>
      </c>
      <c r="M217" s="17"/>
      <c r="N217" s="17">
        <v>-27</v>
      </c>
      <c r="O217" s="17">
        <f t="shared" si="106"/>
        <v>813</v>
      </c>
      <c r="P217" s="17">
        <v>-15265</v>
      </c>
      <c r="Q217" s="17">
        <f t="shared" si="108"/>
        <v>16078</v>
      </c>
    </row>
    <row r="218" spans="1:17" x14ac:dyDescent="0.2">
      <c r="A218" s="16" t="s">
        <v>180</v>
      </c>
      <c r="B218" s="16" t="s">
        <v>174</v>
      </c>
      <c r="F218" s="17">
        <v>137942</v>
      </c>
      <c r="J218" s="17">
        <v>-8158</v>
      </c>
      <c r="K218" s="17"/>
      <c r="L218" s="17"/>
      <c r="M218" s="17"/>
      <c r="N218" s="17"/>
    </row>
    <row r="219" spans="1:17" x14ac:dyDescent="0.2">
      <c r="A219" s="16" t="s">
        <v>95</v>
      </c>
      <c r="B219" s="16" t="s">
        <v>96</v>
      </c>
      <c r="C219" s="17"/>
      <c r="D219" s="17"/>
      <c r="E219" s="17"/>
      <c r="F219" s="111">
        <v>17951</v>
      </c>
      <c r="G219" s="111">
        <v>18378</v>
      </c>
      <c r="H219" s="17"/>
      <c r="I219" s="111">
        <v>-28171</v>
      </c>
      <c r="J219" s="17"/>
      <c r="K219" s="17"/>
      <c r="L219" s="17"/>
      <c r="M219" s="17"/>
      <c r="N219" s="17"/>
      <c r="O219" s="17">
        <f>SUM(C219:N219)</f>
        <v>8158</v>
      </c>
      <c r="Q219" s="17">
        <f>O219-P219</f>
        <v>8158</v>
      </c>
    </row>
    <row r="220" spans="1:17" x14ac:dyDescent="0.2">
      <c r="A220" s="16" t="s">
        <v>97</v>
      </c>
      <c r="B220" s="16" t="s">
        <v>98</v>
      </c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>
        <f>SUM(C220:N220)</f>
        <v>0</v>
      </c>
      <c r="Q220" s="17">
        <f>O220-P220</f>
        <v>0</v>
      </c>
    </row>
    <row r="221" spans="1:17" x14ac:dyDescent="0.2">
      <c r="A221" s="16" t="s">
        <v>133</v>
      </c>
      <c r="B221" s="16" t="s">
        <v>132</v>
      </c>
      <c r="C221" s="17">
        <v>28074</v>
      </c>
      <c r="D221" s="17">
        <v>4842</v>
      </c>
      <c r="E221" s="17"/>
      <c r="F221" s="17">
        <v>21139</v>
      </c>
      <c r="G221" s="17">
        <v>5905</v>
      </c>
      <c r="H221" s="17">
        <v>2760</v>
      </c>
      <c r="I221" s="17">
        <v>-402</v>
      </c>
      <c r="J221" s="17">
        <v>14410</v>
      </c>
      <c r="K221" s="17">
        <v>7377</v>
      </c>
      <c r="L221" s="17">
        <v>5665</v>
      </c>
      <c r="M221" s="17">
        <v>11834</v>
      </c>
      <c r="N221" s="17">
        <v>0</v>
      </c>
      <c r="O221" s="17">
        <f>SUM(C221:N221)</f>
        <v>101604</v>
      </c>
      <c r="P221" s="17">
        <v>48836</v>
      </c>
      <c r="Q221" s="17">
        <f>O221-P221</f>
        <v>52768</v>
      </c>
    </row>
    <row r="222" spans="1:17" x14ac:dyDescent="0.2">
      <c r="A222" s="16" t="s">
        <v>99</v>
      </c>
      <c r="B222" s="16" t="s">
        <v>100</v>
      </c>
      <c r="C222" s="17"/>
      <c r="D222" s="17">
        <v>-839</v>
      </c>
      <c r="E222" s="17"/>
      <c r="F222" s="17">
        <v>14275</v>
      </c>
      <c r="G222" s="17"/>
      <c r="H222" s="17"/>
      <c r="I222" s="17"/>
      <c r="J222" s="17">
        <v>14250</v>
      </c>
      <c r="K222" s="17"/>
      <c r="L222" s="17">
        <v>14250</v>
      </c>
      <c r="M222" s="17"/>
      <c r="N222" s="17">
        <v>0</v>
      </c>
      <c r="O222" s="17">
        <f>SUM(C222:N222)</f>
        <v>41936</v>
      </c>
      <c r="P222" s="17">
        <v>71250</v>
      </c>
      <c r="Q222" s="17">
        <f>O222-P222</f>
        <v>-29314</v>
      </c>
    </row>
    <row r="223" spans="1:17" x14ac:dyDescent="0.2">
      <c r="A223" s="16" t="s">
        <v>101</v>
      </c>
      <c r="B223" s="16" t="s">
        <v>102</v>
      </c>
      <c r="C223" s="17"/>
      <c r="D223" s="17">
        <v>30</v>
      </c>
      <c r="E223" s="17"/>
      <c r="F223" s="17"/>
      <c r="G223" s="17"/>
      <c r="H223" s="17"/>
      <c r="I223" s="17"/>
      <c r="J223" s="17"/>
      <c r="K223" s="17"/>
      <c r="L223" s="17">
        <v>2556</v>
      </c>
      <c r="M223" s="17"/>
      <c r="N223" s="17">
        <v>411</v>
      </c>
      <c r="O223" s="17">
        <f>SUM(C223:N223)</f>
        <v>2997</v>
      </c>
      <c r="P223" s="17">
        <v>14573</v>
      </c>
      <c r="Q223" s="17">
        <f>O223-P223</f>
        <v>-11576</v>
      </c>
    </row>
    <row r="224" spans="1:17" ht="13.5" thickBot="1" x14ac:dyDescent="0.25">
      <c r="C224" s="19">
        <f t="shared" ref="C224:O224" si="109">SUM(C185:C223)</f>
        <v>27447792</v>
      </c>
      <c r="D224" s="19">
        <f t="shared" si="109"/>
        <v>39827073</v>
      </c>
      <c r="E224" s="19">
        <f t="shared" si="109"/>
        <v>31104608</v>
      </c>
      <c r="F224" s="19">
        <f t="shared" si="109"/>
        <v>31376061</v>
      </c>
      <c r="G224" s="19">
        <f t="shared" si="109"/>
        <v>29001303</v>
      </c>
      <c r="H224" s="19">
        <f t="shared" si="109"/>
        <v>27024738</v>
      </c>
      <c r="I224" s="19">
        <f t="shared" si="109"/>
        <v>34141009</v>
      </c>
      <c r="J224" s="19">
        <f t="shared" si="109"/>
        <v>29135938</v>
      </c>
      <c r="K224" s="19">
        <f t="shared" si="109"/>
        <v>32283313</v>
      </c>
      <c r="L224" s="19">
        <f t="shared" si="109"/>
        <v>26793208</v>
      </c>
      <c r="M224" s="19">
        <f t="shared" si="109"/>
        <v>31498937</v>
      </c>
      <c r="N224" s="19">
        <f t="shared" si="109"/>
        <v>36309156</v>
      </c>
      <c r="O224" s="19">
        <f t="shared" si="109"/>
        <v>375813352</v>
      </c>
      <c r="P224" s="19">
        <f t="shared" ref="P224" si="110">SUM(P185:P223)</f>
        <v>374404378</v>
      </c>
      <c r="Q224" s="19">
        <f t="shared" ref="Q224" si="111">SUM(Q185:Q223)</f>
        <v>1408974</v>
      </c>
    </row>
    <row r="225" spans="1:17" ht="13.5" thickTop="1" x14ac:dyDescent="0.2">
      <c r="B225" t="s">
        <v>173</v>
      </c>
      <c r="C225" s="17">
        <f>C224</f>
        <v>27447792</v>
      </c>
      <c r="D225" s="17">
        <f t="shared" ref="D225" si="112">C225+D224</f>
        <v>67274865</v>
      </c>
      <c r="E225" s="17">
        <f t="shared" ref="E225" si="113">D225+E224</f>
        <v>98379473</v>
      </c>
      <c r="F225" s="17">
        <f t="shared" ref="F225" si="114">E225+F224</f>
        <v>129755534</v>
      </c>
      <c r="G225" s="17">
        <f t="shared" ref="G225" si="115">F225+G224</f>
        <v>158756837</v>
      </c>
      <c r="H225" s="17">
        <f t="shared" ref="H225" si="116">G225+H224</f>
        <v>185781575</v>
      </c>
      <c r="I225" s="17">
        <f t="shared" ref="I225" si="117">H225+I224</f>
        <v>219922584</v>
      </c>
      <c r="J225" s="17">
        <f t="shared" ref="J225" si="118">I225+J224</f>
        <v>249058522</v>
      </c>
      <c r="K225" s="17">
        <f t="shared" ref="K225" si="119">J225+K224</f>
        <v>281341835</v>
      </c>
      <c r="L225" s="17">
        <f t="shared" ref="L225" si="120">K225+L224</f>
        <v>308135043</v>
      </c>
      <c r="M225" s="17">
        <f t="shared" ref="M225" si="121">L225+M224</f>
        <v>339633980</v>
      </c>
      <c r="N225" s="17">
        <f t="shared" ref="N225" si="122">M225+N224</f>
        <v>375943136</v>
      </c>
      <c r="O225" s="17"/>
    </row>
    <row r="226" spans="1:17" x14ac:dyDescent="0.2">
      <c r="B226" t="s">
        <v>104</v>
      </c>
      <c r="C226" s="17">
        <v>27447791</v>
      </c>
      <c r="D226" s="17">
        <v>67274863</v>
      </c>
      <c r="E226" s="17">
        <v>98379472</v>
      </c>
      <c r="F226" s="17">
        <v>129755532</v>
      </c>
      <c r="G226" s="17">
        <v>158756833</v>
      </c>
      <c r="H226" s="17">
        <v>185781573</v>
      </c>
      <c r="I226" s="17">
        <v>219922682</v>
      </c>
      <c r="J226" s="17">
        <v>249058621</v>
      </c>
      <c r="K226" s="17">
        <v>281341833</v>
      </c>
      <c r="L226" s="17">
        <v>308135042</v>
      </c>
      <c r="M226" s="17">
        <v>339633979</v>
      </c>
      <c r="N226" s="17">
        <v>375943181</v>
      </c>
    </row>
    <row r="227" spans="1:17" x14ac:dyDescent="0.2">
      <c r="B227" t="s">
        <v>105</v>
      </c>
      <c r="C227" s="17">
        <f>C226-C225</f>
        <v>-1</v>
      </c>
      <c r="D227" s="17">
        <f>D226-D225</f>
        <v>-2</v>
      </c>
      <c r="E227" s="17">
        <f>E226-E225</f>
        <v>-1</v>
      </c>
      <c r="F227" s="17">
        <f>F226-F225</f>
        <v>-2</v>
      </c>
      <c r="G227" s="17">
        <f t="shared" ref="G227:N227" si="123">G226-G225</f>
        <v>-4</v>
      </c>
      <c r="H227" s="17">
        <f t="shared" si="123"/>
        <v>-2</v>
      </c>
      <c r="I227" s="17">
        <f t="shared" si="123"/>
        <v>98</v>
      </c>
      <c r="J227" s="17">
        <f t="shared" si="123"/>
        <v>99</v>
      </c>
      <c r="K227" s="17">
        <f t="shared" si="123"/>
        <v>-2</v>
      </c>
      <c r="L227" s="17">
        <f t="shared" si="123"/>
        <v>-1</v>
      </c>
      <c r="M227" s="17">
        <f t="shared" si="123"/>
        <v>-1</v>
      </c>
      <c r="N227" s="17">
        <f t="shared" si="123"/>
        <v>45</v>
      </c>
    </row>
    <row r="229" spans="1:17" x14ac:dyDescent="0.2">
      <c r="B229" t="s">
        <v>193</v>
      </c>
      <c r="C229" s="17"/>
      <c r="D229" s="20"/>
      <c r="E229" s="20"/>
      <c r="F229" s="20"/>
      <c r="G229" s="20"/>
      <c r="H229" s="20"/>
      <c r="I229" s="20">
        <v>100</v>
      </c>
      <c r="J229" s="20"/>
      <c r="K229" s="20"/>
      <c r="L229" s="20"/>
    </row>
    <row r="234" spans="1:17" x14ac:dyDescent="0.2">
      <c r="C234" s="18">
        <v>41456</v>
      </c>
      <c r="D234" s="18">
        <v>41487</v>
      </c>
      <c r="E234" s="18">
        <v>41518</v>
      </c>
      <c r="F234" s="18">
        <v>41548</v>
      </c>
      <c r="G234" s="18">
        <v>41579</v>
      </c>
      <c r="H234" s="18">
        <v>41609</v>
      </c>
      <c r="I234" s="18">
        <v>41640</v>
      </c>
      <c r="J234" s="18">
        <v>41671</v>
      </c>
      <c r="K234" s="18">
        <v>41699</v>
      </c>
      <c r="L234" s="18">
        <v>41730</v>
      </c>
      <c r="M234" s="18">
        <v>41760</v>
      </c>
      <c r="N234" s="18">
        <v>41791</v>
      </c>
      <c r="O234" s="17" t="s">
        <v>204</v>
      </c>
    </row>
    <row r="235" spans="1:17" x14ac:dyDescent="0.2">
      <c r="A235" s="16" t="s">
        <v>33</v>
      </c>
      <c r="B235" s="16" t="s">
        <v>34</v>
      </c>
      <c r="C235" s="17">
        <v>18960207</v>
      </c>
      <c r="D235" s="17">
        <v>31344013</v>
      </c>
      <c r="E235" s="17">
        <v>20054746</v>
      </c>
      <c r="F235" s="17">
        <v>21753994</v>
      </c>
      <c r="G235" s="17">
        <v>21098359</v>
      </c>
      <c r="H235" s="17">
        <v>19381921</v>
      </c>
      <c r="I235" s="17">
        <v>15835834</v>
      </c>
      <c r="J235" s="17">
        <v>21634954</v>
      </c>
      <c r="K235" s="17">
        <v>33986148</v>
      </c>
      <c r="L235" s="17">
        <v>19781215</v>
      </c>
      <c r="M235" s="17">
        <v>22346697</v>
      </c>
      <c r="N235" s="17">
        <v>20672541</v>
      </c>
      <c r="O235" s="17">
        <f>SUM(C235:N235)</f>
        <v>266850629</v>
      </c>
      <c r="P235" s="17">
        <v>266859970</v>
      </c>
      <c r="Q235" s="17">
        <f>O235-P235</f>
        <v>-9341</v>
      </c>
    </row>
    <row r="236" spans="1:17" x14ac:dyDescent="0.2">
      <c r="A236" s="16" t="s">
        <v>35</v>
      </c>
      <c r="B236" s="16" t="s">
        <v>36</v>
      </c>
      <c r="C236" s="17">
        <v>13192</v>
      </c>
      <c r="D236" s="17">
        <v>-56183</v>
      </c>
      <c r="E236" s="17">
        <v>12622</v>
      </c>
      <c r="F236" s="17">
        <v>50336</v>
      </c>
      <c r="G236" s="17">
        <v>118639</v>
      </c>
      <c r="H236" s="17">
        <v>79057</v>
      </c>
      <c r="I236" s="17">
        <v>59398</v>
      </c>
      <c r="J236" s="17">
        <v>100766</v>
      </c>
      <c r="K236" s="17">
        <v>74384</v>
      </c>
      <c r="L236" s="17">
        <v>56190</v>
      </c>
      <c r="M236" s="17">
        <v>52079</v>
      </c>
      <c r="N236" s="17">
        <v>6847</v>
      </c>
      <c r="O236" s="17">
        <f>SUM(C236:N236)</f>
        <v>567327</v>
      </c>
      <c r="P236" s="17">
        <v>567327</v>
      </c>
      <c r="Q236" s="17">
        <f>O236-P236</f>
        <v>0</v>
      </c>
    </row>
    <row r="237" spans="1:17" x14ac:dyDescent="0.2">
      <c r="A237" s="16" t="s">
        <v>37</v>
      </c>
      <c r="B237" s="16" t="s">
        <v>38</v>
      </c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>
        <v>0</v>
      </c>
      <c r="N237" s="17">
        <v>0</v>
      </c>
      <c r="O237" s="17">
        <f t="shared" ref="O237:O267" si="124">SUM(C237:N237)</f>
        <v>0</v>
      </c>
      <c r="Q237" s="17">
        <f t="shared" ref="Q237:Q256" si="125">O237-P237</f>
        <v>0</v>
      </c>
    </row>
    <row r="238" spans="1:17" x14ac:dyDescent="0.2">
      <c r="A238" s="16" t="s">
        <v>39</v>
      </c>
      <c r="B238" s="16" t="s">
        <v>40</v>
      </c>
      <c r="C238" s="17">
        <v>171201</v>
      </c>
      <c r="D238" s="17">
        <v>325377</v>
      </c>
      <c r="E238" s="17">
        <v>253006</v>
      </c>
      <c r="F238" s="17">
        <v>283345</v>
      </c>
      <c r="G238" s="17">
        <v>270600</v>
      </c>
      <c r="H238" s="17">
        <v>246078</v>
      </c>
      <c r="I238" s="17">
        <v>192870</v>
      </c>
      <c r="J238" s="17">
        <v>289313</v>
      </c>
      <c r="K238" s="17">
        <v>380865</v>
      </c>
      <c r="L238" s="17">
        <v>187035</v>
      </c>
      <c r="M238" s="17">
        <v>180376</v>
      </c>
      <c r="N238" s="17">
        <v>181423</v>
      </c>
      <c r="O238" s="17">
        <f t="shared" si="124"/>
        <v>2961489</v>
      </c>
      <c r="P238" s="17">
        <v>2961946</v>
      </c>
      <c r="Q238" s="17">
        <f t="shared" si="125"/>
        <v>-457</v>
      </c>
    </row>
    <row r="239" spans="1:17" x14ac:dyDescent="0.2">
      <c r="A239" s="16" t="s">
        <v>41</v>
      </c>
      <c r="B239" s="16" t="s">
        <v>42</v>
      </c>
      <c r="C239" s="17">
        <v>144781</v>
      </c>
      <c r="D239" s="17">
        <v>116848</v>
      </c>
      <c r="E239" s="17">
        <v>123320</v>
      </c>
      <c r="F239" s="17">
        <v>148221</v>
      </c>
      <c r="G239" s="17">
        <v>126231</v>
      </c>
      <c r="H239" s="17">
        <v>140938</v>
      </c>
      <c r="I239" s="17">
        <v>217046</v>
      </c>
      <c r="J239" s="17">
        <v>156234</v>
      </c>
      <c r="K239" s="17">
        <v>149561</v>
      </c>
      <c r="L239" s="17">
        <v>146696</v>
      </c>
      <c r="M239" s="17">
        <v>199836</v>
      </c>
      <c r="N239" s="17">
        <v>197131</v>
      </c>
      <c r="O239" s="17">
        <f t="shared" si="124"/>
        <v>1866843</v>
      </c>
      <c r="P239" s="17">
        <v>1843973</v>
      </c>
      <c r="Q239" s="17">
        <f t="shared" si="125"/>
        <v>22870</v>
      </c>
    </row>
    <row r="240" spans="1:17" x14ac:dyDescent="0.2">
      <c r="A240" s="16" t="s">
        <v>43</v>
      </c>
      <c r="B240" s="16" t="s">
        <v>44</v>
      </c>
      <c r="C240" s="17"/>
      <c r="D240" s="17"/>
      <c r="E240" s="17"/>
      <c r="F240" s="17"/>
      <c r="G240" s="17"/>
      <c r="H240" s="17">
        <v>2400</v>
      </c>
      <c r="I240" s="17">
        <v>84</v>
      </c>
      <c r="J240" s="17">
        <v>0</v>
      </c>
      <c r="K240" s="17">
        <v>0</v>
      </c>
      <c r="L240" s="17">
        <v>-815</v>
      </c>
      <c r="M240" s="17">
        <v>3761</v>
      </c>
      <c r="N240" s="17">
        <v>0</v>
      </c>
      <c r="O240" s="17">
        <f t="shared" si="124"/>
        <v>5430</v>
      </c>
      <c r="P240" s="17">
        <v>5430</v>
      </c>
      <c r="Q240" s="17">
        <f t="shared" si="125"/>
        <v>0</v>
      </c>
    </row>
    <row r="241" spans="1:17" x14ac:dyDescent="0.2">
      <c r="A241" s="16" t="s">
        <v>45</v>
      </c>
      <c r="B241" s="16" t="s">
        <v>46</v>
      </c>
      <c r="C241" s="17">
        <v>3511354</v>
      </c>
      <c r="D241" s="17">
        <v>4109913</v>
      </c>
      <c r="E241" s="17">
        <v>4289924</v>
      </c>
      <c r="F241" s="17">
        <v>4109088</v>
      </c>
      <c r="G241" s="17">
        <v>3254800</v>
      </c>
      <c r="H241" s="17">
        <v>3135588</v>
      </c>
      <c r="I241" s="17">
        <v>3006480</v>
      </c>
      <c r="J241" s="17">
        <v>2990179</v>
      </c>
      <c r="K241" s="17">
        <v>3133978</v>
      </c>
      <c r="L241" s="17">
        <v>3524397</v>
      </c>
      <c r="M241" s="17">
        <v>3741176</v>
      </c>
      <c r="N241" s="17">
        <v>4523210</v>
      </c>
      <c r="O241" s="17">
        <f t="shared" si="124"/>
        <v>43330087</v>
      </c>
      <c r="P241" s="17">
        <v>43333279</v>
      </c>
      <c r="Q241" s="17">
        <f t="shared" si="125"/>
        <v>-3192</v>
      </c>
    </row>
    <row r="242" spans="1:17" x14ac:dyDescent="0.2">
      <c r="A242" s="16" t="s">
        <v>47</v>
      </c>
      <c r="B242" s="16" t="s">
        <v>48</v>
      </c>
      <c r="C242" s="17">
        <v>108714</v>
      </c>
      <c r="D242" s="17">
        <v>133782</v>
      </c>
      <c r="E242" s="17">
        <v>148026</v>
      </c>
      <c r="F242" s="17">
        <v>192469</v>
      </c>
      <c r="G242" s="17">
        <v>216939</v>
      </c>
      <c r="H242" s="17">
        <v>172017</v>
      </c>
      <c r="I242" s="17">
        <v>274477</v>
      </c>
      <c r="J242" s="17">
        <v>419285</v>
      </c>
      <c r="K242" s="17">
        <v>289569</v>
      </c>
      <c r="L242" s="17">
        <v>482137</v>
      </c>
      <c r="M242" s="17">
        <v>309724</v>
      </c>
      <c r="N242" s="17">
        <v>384825</v>
      </c>
      <c r="O242" s="17">
        <f t="shared" si="124"/>
        <v>3131964</v>
      </c>
      <c r="P242" s="17">
        <v>3131962</v>
      </c>
      <c r="Q242" s="17">
        <f t="shared" si="125"/>
        <v>2</v>
      </c>
    </row>
    <row r="243" spans="1:17" x14ac:dyDescent="0.2">
      <c r="A243" s="16" t="s">
        <v>49</v>
      </c>
      <c r="B243" s="16" t="s">
        <v>50</v>
      </c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>
        <v>0</v>
      </c>
      <c r="N243" s="17"/>
      <c r="O243" s="17">
        <f t="shared" si="124"/>
        <v>0</v>
      </c>
      <c r="Q243" s="17">
        <f t="shared" si="125"/>
        <v>0</v>
      </c>
    </row>
    <row r="244" spans="1:17" x14ac:dyDescent="0.2">
      <c r="A244" s="16" t="s">
        <v>51</v>
      </c>
      <c r="B244" s="16" t="s">
        <v>52</v>
      </c>
      <c r="C244" s="17">
        <v>1136317</v>
      </c>
      <c r="D244" s="17">
        <v>1384553</v>
      </c>
      <c r="E244" s="17">
        <v>1386433</v>
      </c>
      <c r="F244" s="17">
        <v>1567679</v>
      </c>
      <c r="G244" s="17">
        <v>997216</v>
      </c>
      <c r="H244" s="17">
        <v>927414</v>
      </c>
      <c r="I244" s="17">
        <v>1010553</v>
      </c>
      <c r="J244" s="17">
        <v>674449</v>
      </c>
      <c r="K244" s="17">
        <v>698925</v>
      </c>
      <c r="L244" s="17">
        <v>1191836</v>
      </c>
      <c r="M244" s="17">
        <v>1094126</v>
      </c>
      <c r="N244" s="17">
        <v>1809617</v>
      </c>
      <c r="O244" s="17">
        <f t="shared" si="124"/>
        <v>13879118</v>
      </c>
      <c r="P244" s="17">
        <v>13879120</v>
      </c>
      <c r="Q244" s="17">
        <f t="shared" si="125"/>
        <v>-2</v>
      </c>
    </row>
    <row r="245" spans="1:17" x14ac:dyDescent="0.2">
      <c r="A245" s="16" t="s">
        <v>53</v>
      </c>
      <c r="B245" s="16" t="s">
        <v>54</v>
      </c>
      <c r="C245" s="17">
        <v>125149</v>
      </c>
      <c r="D245" s="17">
        <v>162070</v>
      </c>
      <c r="E245" s="17">
        <v>156560</v>
      </c>
      <c r="F245" s="17">
        <v>285554</v>
      </c>
      <c r="G245" s="17">
        <v>263614</v>
      </c>
      <c r="H245" s="17">
        <v>270682</v>
      </c>
      <c r="I245" s="17">
        <f>166433+100</f>
        <v>166533</v>
      </c>
      <c r="J245" s="17">
        <v>210524</v>
      </c>
      <c r="K245" s="17">
        <v>383086</v>
      </c>
      <c r="L245" s="17">
        <v>374710</v>
      </c>
      <c r="M245" s="17">
        <v>240109</v>
      </c>
      <c r="N245" s="17">
        <v>353360</v>
      </c>
      <c r="O245" s="17">
        <f t="shared" si="124"/>
        <v>2991951</v>
      </c>
      <c r="P245" s="17">
        <v>2991851</v>
      </c>
      <c r="Q245" s="17">
        <f t="shared" si="125"/>
        <v>100</v>
      </c>
    </row>
    <row r="246" spans="1:17" x14ac:dyDescent="0.2">
      <c r="A246" s="16" t="s">
        <v>55</v>
      </c>
      <c r="B246" s="16" t="s">
        <v>56</v>
      </c>
      <c r="C246" s="17">
        <v>178433</v>
      </c>
      <c r="D246" s="17">
        <v>265070</v>
      </c>
      <c r="E246" s="17">
        <v>210426</v>
      </c>
      <c r="F246" s="17">
        <v>325138</v>
      </c>
      <c r="G246" s="17">
        <v>226732</v>
      </c>
      <c r="H246" s="17">
        <v>370340</v>
      </c>
      <c r="I246" s="17">
        <v>336447</v>
      </c>
      <c r="J246" s="17">
        <v>285248</v>
      </c>
      <c r="K246" s="17">
        <v>309901</v>
      </c>
      <c r="L246" s="17">
        <v>319497</v>
      </c>
      <c r="M246" s="17">
        <v>236470</v>
      </c>
      <c r="N246" s="17">
        <v>331403</v>
      </c>
      <c r="O246" s="17">
        <f t="shared" si="124"/>
        <v>3395105</v>
      </c>
      <c r="P246" s="17">
        <v>3333966</v>
      </c>
      <c r="Q246" s="17">
        <f t="shared" si="125"/>
        <v>61139</v>
      </c>
    </row>
    <row r="247" spans="1:17" x14ac:dyDescent="0.2">
      <c r="A247" s="16" t="s">
        <v>57</v>
      </c>
      <c r="B247" s="16" t="s">
        <v>58</v>
      </c>
      <c r="C247" s="17">
        <v>34374</v>
      </c>
      <c r="D247" s="17">
        <v>100441</v>
      </c>
      <c r="E247" s="17">
        <v>72459</v>
      </c>
      <c r="F247" s="17">
        <v>114827</v>
      </c>
      <c r="G247" s="17">
        <v>69569</v>
      </c>
      <c r="H247" s="17">
        <v>142354</v>
      </c>
      <c r="I247" s="17">
        <v>90757</v>
      </c>
      <c r="J247" s="17">
        <v>65040</v>
      </c>
      <c r="K247" s="17">
        <v>72540</v>
      </c>
      <c r="L247" s="17">
        <v>220318</v>
      </c>
      <c r="M247" s="17">
        <v>194784</v>
      </c>
      <c r="N247" s="17">
        <v>162014</v>
      </c>
      <c r="O247" s="17">
        <f t="shared" si="124"/>
        <v>1339477</v>
      </c>
      <c r="P247" s="17">
        <v>1336835</v>
      </c>
      <c r="Q247" s="17">
        <f t="shared" si="125"/>
        <v>2642</v>
      </c>
    </row>
    <row r="248" spans="1:17" x14ac:dyDescent="0.2">
      <c r="A248" s="16" t="s">
        <v>59</v>
      </c>
      <c r="B248" s="16" t="s">
        <v>60</v>
      </c>
      <c r="C248" s="17">
        <v>925</v>
      </c>
      <c r="D248" s="17">
        <v>925</v>
      </c>
      <c r="E248" s="17">
        <v>2313</v>
      </c>
      <c r="F248" s="17">
        <v>4223</v>
      </c>
      <c r="G248" s="17">
        <v>925</v>
      </c>
      <c r="H248" s="17">
        <v>1305</v>
      </c>
      <c r="I248" s="17">
        <v>1110</v>
      </c>
      <c r="J248" s="17">
        <v>6486</v>
      </c>
      <c r="K248" s="17">
        <v>1110</v>
      </c>
      <c r="L248" s="17">
        <v>2822</v>
      </c>
      <c r="M248" s="17">
        <v>1110</v>
      </c>
      <c r="N248" s="17">
        <v>5052</v>
      </c>
      <c r="O248" s="17">
        <f t="shared" si="124"/>
        <v>28306</v>
      </c>
      <c r="P248" s="17">
        <v>28306</v>
      </c>
      <c r="Q248" s="17">
        <f t="shared" si="125"/>
        <v>0</v>
      </c>
    </row>
    <row r="249" spans="1:17" x14ac:dyDescent="0.2">
      <c r="A249" s="16" t="s">
        <v>61</v>
      </c>
      <c r="B249" s="16" t="s">
        <v>62</v>
      </c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>
        <v>4312</v>
      </c>
      <c r="O249" s="17">
        <f t="shared" si="124"/>
        <v>4312</v>
      </c>
      <c r="P249" s="17">
        <v>4312</v>
      </c>
      <c r="Q249" s="17">
        <f t="shared" si="125"/>
        <v>0</v>
      </c>
    </row>
    <row r="250" spans="1:17" x14ac:dyDescent="0.2">
      <c r="A250" s="16" t="s">
        <v>63</v>
      </c>
      <c r="B250" s="16" t="s">
        <v>64</v>
      </c>
      <c r="C250" s="17">
        <v>94900</v>
      </c>
      <c r="D250" s="17">
        <v>94900</v>
      </c>
      <c r="E250" s="17">
        <v>94900</v>
      </c>
      <c r="F250" s="17">
        <v>92628</v>
      </c>
      <c r="G250" s="17">
        <v>94900</v>
      </c>
      <c r="H250" s="17">
        <v>94900</v>
      </c>
      <c r="I250" s="17">
        <v>94900</v>
      </c>
      <c r="J250" s="17">
        <v>94900</v>
      </c>
      <c r="K250" s="17">
        <v>86395</v>
      </c>
      <c r="L250" s="17">
        <v>94900</v>
      </c>
      <c r="M250" s="17">
        <v>94900</v>
      </c>
      <c r="N250" s="17">
        <v>94900</v>
      </c>
      <c r="O250" s="17">
        <f t="shared" si="124"/>
        <v>1128023</v>
      </c>
      <c r="P250" s="17">
        <v>1128023</v>
      </c>
      <c r="Q250" s="17">
        <f t="shared" si="125"/>
        <v>0</v>
      </c>
    </row>
    <row r="251" spans="1:17" x14ac:dyDescent="0.2">
      <c r="A251" s="16" t="s">
        <v>65</v>
      </c>
      <c r="B251" s="16" t="s">
        <v>66</v>
      </c>
      <c r="F251" s="17"/>
      <c r="G251" s="17"/>
      <c r="H251" s="17"/>
      <c r="I251" s="17"/>
      <c r="J251" s="17"/>
      <c r="K251" s="17"/>
      <c r="L251" s="17"/>
      <c r="M251" s="17"/>
      <c r="N251" s="17"/>
      <c r="O251" s="17">
        <f t="shared" si="124"/>
        <v>0</v>
      </c>
      <c r="Q251" s="17">
        <f t="shared" si="125"/>
        <v>0</v>
      </c>
    </row>
    <row r="252" spans="1:17" x14ac:dyDescent="0.2">
      <c r="A252" s="16" t="s">
        <v>67</v>
      </c>
      <c r="B252" s="16" t="s">
        <v>68</v>
      </c>
      <c r="C252" s="17">
        <v>2084</v>
      </c>
      <c r="D252" s="17">
        <v>8452</v>
      </c>
      <c r="E252" s="17">
        <v>15251</v>
      </c>
      <c r="F252" s="17">
        <v>6639</v>
      </c>
      <c r="G252" s="17">
        <v>2653</v>
      </c>
      <c r="H252" s="17">
        <v>9740</v>
      </c>
      <c r="I252" s="17">
        <v>3974</v>
      </c>
      <c r="J252" s="17">
        <v>4936</v>
      </c>
      <c r="K252" s="17">
        <v>15593</v>
      </c>
      <c r="L252" s="17">
        <v>3510</v>
      </c>
      <c r="M252" s="17">
        <v>5643</v>
      </c>
      <c r="N252" s="17">
        <v>4139</v>
      </c>
      <c r="O252" s="93">
        <f t="shared" si="124"/>
        <v>82614</v>
      </c>
      <c r="P252" s="17">
        <v>82012</v>
      </c>
      <c r="Q252" s="17">
        <f t="shared" si="125"/>
        <v>602</v>
      </c>
    </row>
    <row r="253" spans="1:17" x14ac:dyDescent="0.2">
      <c r="A253" s="16" t="s">
        <v>69</v>
      </c>
      <c r="B253" s="16" t="s">
        <v>70</v>
      </c>
      <c r="C253" s="17">
        <v>32635</v>
      </c>
      <c r="D253" s="17">
        <v>43982</v>
      </c>
      <c r="E253" s="17">
        <v>20301</v>
      </c>
      <c r="F253" s="17">
        <v>68091</v>
      </c>
      <c r="G253" s="17">
        <v>40792</v>
      </c>
      <c r="H253" s="17">
        <v>22437</v>
      </c>
      <c r="I253" s="17">
        <v>30282</v>
      </c>
      <c r="J253" s="17">
        <v>5669</v>
      </c>
      <c r="K253" s="17">
        <v>85102</v>
      </c>
      <c r="L253" s="17">
        <v>71592</v>
      </c>
      <c r="M253" s="17">
        <v>16096</v>
      </c>
      <c r="N253" s="17">
        <v>310948</v>
      </c>
      <c r="O253" s="17">
        <f t="shared" si="124"/>
        <v>747927</v>
      </c>
      <c r="P253" s="17">
        <v>747930</v>
      </c>
      <c r="Q253" s="17">
        <f t="shared" si="125"/>
        <v>-3</v>
      </c>
    </row>
    <row r="254" spans="1:17" x14ac:dyDescent="0.2">
      <c r="A254" s="16" t="s">
        <v>71</v>
      </c>
      <c r="B254" s="16" t="s">
        <v>72</v>
      </c>
      <c r="C254" s="17">
        <v>13081</v>
      </c>
      <c r="D254" s="17">
        <v>-487</v>
      </c>
      <c r="E254" s="17">
        <v>15132</v>
      </c>
      <c r="F254" s="17">
        <v>5622</v>
      </c>
      <c r="G254" s="17">
        <v>26180</v>
      </c>
      <c r="H254" s="17">
        <v>32389</v>
      </c>
      <c r="I254" s="17">
        <v>3641</v>
      </c>
      <c r="J254" s="17">
        <v>11908</v>
      </c>
      <c r="K254" s="17">
        <v>63098</v>
      </c>
      <c r="L254" s="17">
        <v>12140</v>
      </c>
      <c r="M254" s="17">
        <v>10153</v>
      </c>
      <c r="N254" s="17">
        <v>256923</v>
      </c>
      <c r="O254" s="17">
        <f t="shared" si="124"/>
        <v>449780</v>
      </c>
      <c r="P254" s="17">
        <v>449779</v>
      </c>
      <c r="Q254" s="17">
        <f t="shared" si="125"/>
        <v>1</v>
      </c>
    </row>
    <row r="255" spans="1:17" x14ac:dyDescent="0.2">
      <c r="A255" s="16" t="s">
        <v>73</v>
      </c>
      <c r="B255" s="16" t="s">
        <v>74</v>
      </c>
      <c r="C255" s="17">
        <v>660644</v>
      </c>
      <c r="D255" s="17">
        <v>40538</v>
      </c>
      <c r="E255" s="17">
        <v>132350</v>
      </c>
      <c r="F255" s="17">
        <v>18556</v>
      </c>
      <c r="G255" s="17">
        <v>72180</v>
      </c>
      <c r="H255" s="17">
        <v>177894</v>
      </c>
      <c r="I255" s="17">
        <v>129754</v>
      </c>
      <c r="J255" s="17">
        <v>56021</v>
      </c>
      <c r="K255" s="17">
        <v>69082</v>
      </c>
      <c r="L255" s="17">
        <v>45343</v>
      </c>
      <c r="M255" s="17">
        <v>62025</v>
      </c>
      <c r="N255" s="17">
        <v>106596</v>
      </c>
      <c r="O255" s="17">
        <f t="shared" si="124"/>
        <v>1570983</v>
      </c>
      <c r="P255" s="17">
        <v>1570985</v>
      </c>
      <c r="Q255" s="17">
        <f t="shared" si="125"/>
        <v>-2</v>
      </c>
    </row>
    <row r="256" spans="1:17" x14ac:dyDescent="0.2">
      <c r="A256" s="16" t="s">
        <v>171</v>
      </c>
      <c r="B256" s="16" t="s">
        <v>172</v>
      </c>
      <c r="C256" s="17">
        <v>8000</v>
      </c>
      <c r="D256" s="17">
        <v>21000</v>
      </c>
      <c r="E256" s="17">
        <v>8719</v>
      </c>
      <c r="F256" s="17">
        <v>32900</v>
      </c>
      <c r="G256" s="17">
        <v>10000</v>
      </c>
      <c r="H256" s="17">
        <v>10000</v>
      </c>
      <c r="I256" s="17">
        <v>19400</v>
      </c>
      <c r="J256" s="17">
        <v>15003</v>
      </c>
      <c r="K256" s="17">
        <v>30500</v>
      </c>
      <c r="L256" s="17">
        <v>0</v>
      </c>
      <c r="M256" s="17">
        <v>22575</v>
      </c>
      <c r="N256" s="17">
        <v>500</v>
      </c>
      <c r="O256" s="17">
        <f t="shared" si="124"/>
        <v>178597</v>
      </c>
      <c r="P256" s="17">
        <v>178596</v>
      </c>
      <c r="Q256" s="17">
        <f t="shared" si="125"/>
        <v>1</v>
      </c>
    </row>
    <row r="257" spans="1:17" x14ac:dyDescent="0.2">
      <c r="A257" s="16">
        <v>44960</v>
      </c>
      <c r="B257" s="16" t="s">
        <v>131</v>
      </c>
      <c r="C257" s="17">
        <v>24750</v>
      </c>
      <c r="D257" s="17">
        <v>16500</v>
      </c>
      <c r="E257" s="17">
        <v>28000</v>
      </c>
      <c r="F257" s="17">
        <v>14500</v>
      </c>
      <c r="G257" s="17">
        <v>2750</v>
      </c>
      <c r="H257" s="17">
        <v>19750</v>
      </c>
      <c r="I257" s="17">
        <v>9500</v>
      </c>
      <c r="J257" s="17">
        <v>56000</v>
      </c>
      <c r="K257" s="17">
        <v>41850</v>
      </c>
      <c r="L257" s="17">
        <v>39600</v>
      </c>
      <c r="M257" s="17">
        <v>9400</v>
      </c>
      <c r="N257" s="17">
        <v>8500</v>
      </c>
      <c r="O257" s="17">
        <f t="shared" si="124"/>
        <v>271100</v>
      </c>
      <c r="P257" s="17">
        <v>271100</v>
      </c>
      <c r="Q257" s="17">
        <f>O257-P257</f>
        <v>0</v>
      </c>
    </row>
    <row r="258" spans="1:17" x14ac:dyDescent="0.2">
      <c r="A258" s="16" t="s">
        <v>75</v>
      </c>
      <c r="B258" s="16" t="s">
        <v>76</v>
      </c>
      <c r="C258" s="17">
        <v>3347</v>
      </c>
      <c r="D258" s="17">
        <v>11965</v>
      </c>
      <c r="E258" s="17">
        <v>2209</v>
      </c>
      <c r="F258" s="17">
        <v>9018</v>
      </c>
      <c r="G258" s="17">
        <v>4404</v>
      </c>
      <c r="H258" s="17">
        <v>3122</v>
      </c>
      <c r="I258" s="17">
        <v>2940</v>
      </c>
      <c r="J258" s="17">
        <v>2978</v>
      </c>
      <c r="K258" s="17">
        <v>9301</v>
      </c>
      <c r="L258" s="17">
        <v>2161</v>
      </c>
      <c r="M258" s="17">
        <v>14604</v>
      </c>
      <c r="N258" s="17">
        <v>17894</v>
      </c>
      <c r="O258" s="17">
        <f t="shared" si="124"/>
        <v>83943</v>
      </c>
      <c r="P258" s="17">
        <v>83943</v>
      </c>
      <c r="Q258" s="17">
        <f>O258-P258</f>
        <v>0</v>
      </c>
    </row>
    <row r="259" spans="1:17" x14ac:dyDescent="0.2">
      <c r="A259" s="16" t="s">
        <v>77</v>
      </c>
      <c r="B259" s="16" t="s">
        <v>78</v>
      </c>
      <c r="C259" s="17">
        <v>28809</v>
      </c>
      <c r="D259" s="17">
        <v>26447</v>
      </c>
      <c r="E259" s="17">
        <v>30268</v>
      </c>
      <c r="F259" s="17">
        <v>47584</v>
      </c>
      <c r="G259" s="17">
        <v>36591</v>
      </c>
      <c r="H259" s="17">
        <v>61592</v>
      </c>
      <c r="I259" s="17">
        <v>55661</v>
      </c>
      <c r="J259" s="17">
        <v>15630</v>
      </c>
      <c r="K259" s="17">
        <v>31093</v>
      </c>
      <c r="L259" s="17">
        <v>44228</v>
      </c>
      <c r="M259" s="17">
        <v>94630</v>
      </c>
      <c r="N259" s="17">
        <v>110141</v>
      </c>
      <c r="O259" s="17">
        <f t="shared" si="124"/>
        <v>582674</v>
      </c>
      <c r="P259" s="17">
        <v>583063</v>
      </c>
      <c r="Q259" s="17">
        <f>O259-P259</f>
        <v>-389</v>
      </c>
    </row>
    <row r="260" spans="1:17" x14ac:dyDescent="0.2">
      <c r="A260" s="16" t="s">
        <v>79</v>
      </c>
      <c r="B260" s="16" t="s">
        <v>80</v>
      </c>
      <c r="C260" s="17">
        <v>19909</v>
      </c>
      <c r="D260" s="17">
        <v>30716</v>
      </c>
      <c r="E260" s="17">
        <v>25078</v>
      </c>
      <c r="F260" s="17">
        <v>32404</v>
      </c>
      <c r="G260" s="17">
        <v>35069</v>
      </c>
      <c r="H260" s="17">
        <v>23518</v>
      </c>
      <c r="I260" s="17">
        <v>25066</v>
      </c>
      <c r="J260" s="17">
        <v>20356</v>
      </c>
      <c r="K260" s="17">
        <v>31011</v>
      </c>
      <c r="L260" s="17">
        <v>26849</v>
      </c>
      <c r="M260" s="17">
        <v>111350</v>
      </c>
      <c r="N260" s="17">
        <v>-1536</v>
      </c>
      <c r="O260" s="17">
        <f t="shared" si="124"/>
        <v>379790</v>
      </c>
      <c r="P260" s="17">
        <v>379400</v>
      </c>
      <c r="Q260" s="17">
        <f>O260-P260</f>
        <v>390</v>
      </c>
    </row>
    <row r="261" spans="1:17" x14ac:dyDescent="0.2">
      <c r="A261" s="16" t="s">
        <v>81</v>
      </c>
      <c r="B261" s="16" t="s">
        <v>82</v>
      </c>
      <c r="C261" s="17">
        <v>568236</v>
      </c>
      <c r="D261" s="17">
        <v>519533</v>
      </c>
      <c r="E261" s="17">
        <v>684179</v>
      </c>
      <c r="F261" s="17">
        <v>1164346</v>
      </c>
      <c r="G261" s="17">
        <v>913753</v>
      </c>
      <c r="H261" s="17">
        <v>714981</v>
      </c>
      <c r="I261" s="17">
        <v>624665</v>
      </c>
      <c r="J261" s="17">
        <v>638251</v>
      </c>
      <c r="K261" s="17">
        <v>875783</v>
      </c>
      <c r="L261" s="17">
        <v>1065357</v>
      </c>
      <c r="M261" s="17">
        <v>1454536</v>
      </c>
      <c r="N261" s="17">
        <v>2244090</v>
      </c>
      <c r="O261" s="17">
        <f t="shared" si="124"/>
        <v>11467710</v>
      </c>
      <c r="P261" s="17">
        <v>11490582</v>
      </c>
      <c r="Q261" s="17">
        <f t="shared" ref="Q261:Q267" si="126">O261-P261</f>
        <v>-22872</v>
      </c>
    </row>
    <row r="262" spans="1:17" x14ac:dyDescent="0.2">
      <c r="A262" s="16" t="s">
        <v>83</v>
      </c>
      <c r="B262" s="16" t="s">
        <v>84</v>
      </c>
      <c r="C262" s="17">
        <v>1184472</v>
      </c>
      <c r="D262" s="17">
        <v>700411</v>
      </c>
      <c r="E262" s="17">
        <v>1194608</v>
      </c>
      <c r="F262" s="17">
        <v>1552857</v>
      </c>
      <c r="G262" s="17">
        <v>884810</v>
      </c>
      <c r="H262" s="17">
        <v>1120973</v>
      </c>
      <c r="I262" s="17">
        <v>1144372</v>
      </c>
      <c r="J262" s="17">
        <v>1262360</v>
      </c>
      <c r="K262" s="17">
        <v>1305471</v>
      </c>
      <c r="L262" s="17">
        <v>1638550</v>
      </c>
      <c r="M262" s="17">
        <v>1896164</v>
      </c>
      <c r="N262" s="17">
        <v>2304636</v>
      </c>
      <c r="O262" s="17">
        <f t="shared" si="124"/>
        <v>16189684</v>
      </c>
      <c r="P262" s="17">
        <v>16189685</v>
      </c>
      <c r="Q262" s="17">
        <f t="shared" si="126"/>
        <v>-1</v>
      </c>
    </row>
    <row r="263" spans="1:17" x14ac:dyDescent="0.2">
      <c r="A263" s="16" t="s">
        <v>85</v>
      </c>
      <c r="B263" s="16" t="s">
        <v>86</v>
      </c>
      <c r="C263" s="17">
        <v>5648</v>
      </c>
      <c r="D263" s="17">
        <v>0</v>
      </c>
      <c r="E263" s="17">
        <v>5073</v>
      </c>
      <c r="F263" s="17">
        <v>9950</v>
      </c>
      <c r="G263" s="17">
        <v>96</v>
      </c>
      <c r="H263" s="17">
        <v>0</v>
      </c>
      <c r="I263" s="17">
        <v>5298</v>
      </c>
      <c r="J263" s="17">
        <v>16780</v>
      </c>
      <c r="K263" s="17">
        <v>-5758</v>
      </c>
      <c r="L263" s="17">
        <v>-14700</v>
      </c>
      <c r="M263" s="17">
        <v>0</v>
      </c>
      <c r="N263" s="17">
        <v>10453</v>
      </c>
      <c r="O263" s="17">
        <f t="shared" si="124"/>
        <v>32840</v>
      </c>
      <c r="P263" s="17">
        <v>32839</v>
      </c>
      <c r="Q263" s="17">
        <f t="shared" si="126"/>
        <v>1</v>
      </c>
    </row>
    <row r="264" spans="1:17" x14ac:dyDescent="0.2">
      <c r="A264" s="16" t="s">
        <v>87</v>
      </c>
      <c r="B264" s="16" t="s">
        <v>88</v>
      </c>
      <c r="C264" s="17">
        <v>5139</v>
      </c>
      <c r="D264" s="17">
        <v>2430</v>
      </c>
      <c r="E264" s="17">
        <v>-21365</v>
      </c>
      <c r="F264" s="17">
        <v>-30694</v>
      </c>
      <c r="G264" s="17">
        <v>7714</v>
      </c>
      <c r="H264" s="17">
        <v>7855</v>
      </c>
      <c r="I264" s="17">
        <v>-11836</v>
      </c>
      <c r="J264" s="17">
        <v>-28693</v>
      </c>
      <c r="K264" s="17">
        <v>4233</v>
      </c>
      <c r="L264" s="17">
        <v>5972</v>
      </c>
      <c r="M264" s="17">
        <v>17302</v>
      </c>
      <c r="N264" s="17">
        <v>-32907</v>
      </c>
      <c r="O264" s="17">
        <f t="shared" si="124"/>
        <v>-74850</v>
      </c>
      <c r="P264" s="17">
        <v>-74850</v>
      </c>
      <c r="Q264" s="17">
        <f t="shared" si="126"/>
        <v>0</v>
      </c>
    </row>
    <row r="265" spans="1:17" x14ac:dyDescent="0.2">
      <c r="A265" s="16" t="s">
        <v>89</v>
      </c>
      <c r="B265" s="16" t="s">
        <v>90</v>
      </c>
      <c r="C265" s="17">
        <v>14021</v>
      </c>
      <c r="D265" s="17">
        <v>35497</v>
      </c>
      <c r="E265" s="17">
        <v>39973</v>
      </c>
      <c r="F265" s="17">
        <v>70889</v>
      </c>
      <c r="G265" s="17">
        <v>74243</v>
      </c>
      <c r="H265" s="17">
        <v>178197</v>
      </c>
      <c r="I265" s="17">
        <v>30701</v>
      </c>
      <c r="J265" s="17">
        <v>27117</v>
      </c>
      <c r="K265" s="17">
        <v>50848</v>
      </c>
      <c r="L265" s="17">
        <v>24834</v>
      </c>
      <c r="M265" s="17">
        <v>290908</v>
      </c>
      <c r="N265" s="17">
        <v>56392</v>
      </c>
      <c r="O265" s="17">
        <f t="shared" si="124"/>
        <v>893620</v>
      </c>
      <c r="P265" s="17">
        <v>893620</v>
      </c>
      <c r="Q265" s="17">
        <f t="shared" si="126"/>
        <v>0</v>
      </c>
    </row>
    <row r="266" spans="1:17" x14ac:dyDescent="0.2">
      <c r="A266" s="16" t="s">
        <v>91</v>
      </c>
      <c r="B266" s="16" t="s">
        <v>92</v>
      </c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>
        <v>0</v>
      </c>
      <c r="N266" s="17"/>
      <c r="O266" s="17">
        <f t="shared" si="124"/>
        <v>0</v>
      </c>
      <c r="Q266" s="17">
        <f t="shared" si="126"/>
        <v>0</v>
      </c>
    </row>
    <row r="267" spans="1:17" x14ac:dyDescent="0.2">
      <c r="A267" s="16" t="s">
        <v>93</v>
      </c>
      <c r="B267" s="16" t="s">
        <v>94</v>
      </c>
      <c r="C267" s="17">
        <v>2398</v>
      </c>
      <c r="D267" s="17">
        <v>-7393</v>
      </c>
      <c r="E267" s="17">
        <v>-6</v>
      </c>
      <c r="F267" s="17"/>
      <c r="G267" s="17"/>
      <c r="H267" s="17">
        <v>-7867</v>
      </c>
      <c r="I267" s="17"/>
      <c r="J267" s="17">
        <v>8081</v>
      </c>
      <c r="K267" s="17">
        <v>-10435</v>
      </c>
      <c r="L267" s="17">
        <v>-44</v>
      </c>
      <c r="M267" s="17">
        <v>102</v>
      </c>
      <c r="N267" s="17">
        <v>-102</v>
      </c>
      <c r="O267" s="17">
        <f t="shared" si="124"/>
        <v>-15266</v>
      </c>
      <c r="P267" s="17">
        <v>-15265</v>
      </c>
      <c r="Q267" s="17">
        <f t="shared" si="126"/>
        <v>-1</v>
      </c>
    </row>
    <row r="268" spans="1:17" x14ac:dyDescent="0.2">
      <c r="A268" s="16" t="s">
        <v>180</v>
      </c>
      <c r="B268" s="16" t="s">
        <v>174</v>
      </c>
      <c r="K268" s="17"/>
      <c r="L268" s="17"/>
      <c r="M268" s="17"/>
      <c r="N268" s="17"/>
    </row>
    <row r="269" spans="1:17" x14ac:dyDescent="0.2">
      <c r="A269" s="16" t="s">
        <v>95</v>
      </c>
      <c r="B269" s="16" t="s">
        <v>96</v>
      </c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>
        <f>SUM(C269:N269)</f>
        <v>0</v>
      </c>
      <c r="Q269" s="17">
        <f>O269-P269</f>
        <v>0</v>
      </c>
    </row>
    <row r="270" spans="1:17" x14ac:dyDescent="0.2">
      <c r="A270" s="16" t="s">
        <v>97</v>
      </c>
      <c r="B270" s="16" t="s">
        <v>98</v>
      </c>
      <c r="C270" s="17">
        <v>0</v>
      </c>
      <c r="D270" s="17"/>
      <c r="E270" s="17"/>
      <c r="F270" s="17"/>
      <c r="G270" s="17"/>
      <c r="H270" s="17"/>
      <c r="I270" s="17"/>
      <c r="J270" s="17">
        <v>0</v>
      </c>
      <c r="K270" s="17">
        <v>0</v>
      </c>
      <c r="L270" s="17"/>
      <c r="M270" s="17"/>
      <c r="N270" s="17"/>
      <c r="O270" s="17">
        <f>SUM(C270:N270)</f>
        <v>0</v>
      </c>
      <c r="Q270" s="17">
        <f>O270-P270</f>
        <v>0</v>
      </c>
    </row>
    <row r="271" spans="1:17" x14ac:dyDescent="0.2">
      <c r="A271" s="16" t="s">
        <v>133</v>
      </c>
      <c r="B271" s="16" t="s">
        <v>132</v>
      </c>
      <c r="C271" s="17">
        <v>0</v>
      </c>
      <c r="D271" s="17"/>
      <c r="E271" s="17"/>
      <c r="F271" s="17">
        <v>5372</v>
      </c>
      <c r="G271" s="17"/>
      <c r="H271" s="17"/>
      <c r="I271" s="17"/>
      <c r="J271" s="17"/>
      <c r="K271" s="17">
        <v>0</v>
      </c>
      <c r="L271" s="17"/>
      <c r="M271" s="17">
        <v>12660</v>
      </c>
      <c r="N271" s="17">
        <v>30804</v>
      </c>
      <c r="O271" s="17">
        <f>SUM(C271:N271)</f>
        <v>48836</v>
      </c>
      <c r="P271" s="17">
        <v>48836</v>
      </c>
      <c r="Q271" s="17">
        <f>O271-P271</f>
        <v>0</v>
      </c>
    </row>
    <row r="272" spans="1:17" x14ac:dyDescent="0.2">
      <c r="A272" s="16" t="s">
        <v>99</v>
      </c>
      <c r="B272" s="16" t="s">
        <v>100</v>
      </c>
      <c r="C272" s="17"/>
      <c r="D272" s="17">
        <v>14250</v>
      </c>
      <c r="E272" s="17"/>
      <c r="F272" s="17">
        <v>14250</v>
      </c>
      <c r="G272" s="17"/>
      <c r="H272" s="17"/>
      <c r="I272" s="17">
        <v>14250</v>
      </c>
      <c r="J272" s="17"/>
      <c r="K272" s="17">
        <v>0</v>
      </c>
      <c r="L272" s="17">
        <v>14250</v>
      </c>
      <c r="M272" s="17"/>
      <c r="N272" s="17">
        <v>14250</v>
      </c>
      <c r="O272" s="17">
        <f>SUM(C272:N272)</f>
        <v>71250</v>
      </c>
      <c r="P272" s="17">
        <v>71250</v>
      </c>
      <c r="Q272" s="17">
        <f>O272-P272</f>
        <v>0</v>
      </c>
    </row>
    <row r="273" spans="1:17" x14ac:dyDescent="0.2">
      <c r="A273" s="16" t="s">
        <v>101</v>
      </c>
      <c r="B273" s="16" t="s">
        <v>102</v>
      </c>
      <c r="C273" s="17">
        <v>1580</v>
      </c>
      <c r="D273" s="17">
        <v>2866</v>
      </c>
      <c r="E273" s="17">
        <v>1120</v>
      </c>
      <c r="F273" s="17">
        <v>1224</v>
      </c>
      <c r="G273" s="17">
        <v>691</v>
      </c>
      <c r="H273" s="17">
        <v>134</v>
      </c>
      <c r="I273" s="17">
        <v>3389</v>
      </c>
      <c r="J273" s="17">
        <v>0</v>
      </c>
      <c r="K273" s="17">
        <v>3470</v>
      </c>
      <c r="L273" s="17">
        <v>0</v>
      </c>
      <c r="M273" s="17"/>
      <c r="N273" s="17">
        <v>100</v>
      </c>
      <c r="O273" s="17">
        <f>SUM(C273:N273)</f>
        <v>14574</v>
      </c>
      <c r="P273" s="17">
        <v>14573</v>
      </c>
      <c r="Q273" s="17">
        <f>O273-P273</f>
        <v>1</v>
      </c>
    </row>
    <row r="274" spans="1:17" ht="13.5" thickBot="1" x14ac:dyDescent="0.25">
      <c r="C274" s="19">
        <f t="shared" ref="C274:Q274" si="127">SUM(C235:C273)</f>
        <v>27054300</v>
      </c>
      <c r="D274" s="19">
        <f t="shared" si="127"/>
        <v>39448416</v>
      </c>
      <c r="E274" s="19">
        <f t="shared" si="127"/>
        <v>28985625</v>
      </c>
      <c r="F274" s="19">
        <f t="shared" si="127"/>
        <v>31951010</v>
      </c>
      <c r="G274" s="19">
        <f t="shared" si="127"/>
        <v>28850450</v>
      </c>
      <c r="H274" s="19">
        <f t="shared" si="127"/>
        <v>27339709</v>
      </c>
      <c r="I274" s="19">
        <f t="shared" si="127"/>
        <v>23377546</v>
      </c>
      <c r="J274" s="19">
        <f t="shared" si="127"/>
        <v>29039775</v>
      </c>
      <c r="K274" s="19">
        <f t="shared" si="127"/>
        <v>42166704</v>
      </c>
      <c r="L274" s="19">
        <f t="shared" si="127"/>
        <v>29360580</v>
      </c>
      <c r="M274" s="19">
        <f t="shared" si="127"/>
        <v>32713296</v>
      </c>
      <c r="N274" s="19">
        <f t="shared" si="127"/>
        <v>34168456</v>
      </c>
      <c r="O274" s="19">
        <f t="shared" si="127"/>
        <v>374455867</v>
      </c>
      <c r="P274" s="19">
        <f t="shared" si="127"/>
        <v>374404378</v>
      </c>
      <c r="Q274" s="19">
        <f t="shared" si="127"/>
        <v>51489</v>
      </c>
    </row>
    <row r="275" spans="1:17" ht="13.5" thickTop="1" x14ac:dyDescent="0.2">
      <c r="B275" t="s">
        <v>173</v>
      </c>
      <c r="C275" s="17">
        <f>C274</f>
        <v>27054300</v>
      </c>
      <c r="D275" s="17">
        <f t="shared" ref="D275" si="128">C275+D274</f>
        <v>66502716</v>
      </c>
      <c r="E275" s="17">
        <f t="shared" ref="E275" si="129">D275+E274</f>
        <v>95488341</v>
      </c>
      <c r="F275" s="17">
        <f t="shared" ref="F275" si="130">E275+F274</f>
        <v>127439351</v>
      </c>
      <c r="G275" s="17">
        <f t="shared" ref="G275" si="131">F275+G274</f>
        <v>156289801</v>
      </c>
      <c r="H275" s="17">
        <f t="shared" ref="H275" si="132">G275+H274</f>
        <v>183629510</v>
      </c>
      <c r="I275" s="17">
        <f t="shared" ref="I275" si="133">H275+I274</f>
        <v>207007056</v>
      </c>
      <c r="J275" s="17">
        <f t="shared" ref="J275" si="134">I275+J274</f>
        <v>236046831</v>
      </c>
      <c r="K275" s="17">
        <f t="shared" ref="K275" si="135">J275+K274</f>
        <v>278213535</v>
      </c>
      <c r="L275" s="17">
        <f t="shared" ref="L275" si="136">K275+L274</f>
        <v>307574115</v>
      </c>
      <c r="M275" s="17">
        <f t="shared" ref="M275" si="137">L275+M274</f>
        <v>340287411</v>
      </c>
      <c r="N275" s="17">
        <f t="shared" ref="N275" si="138">M275+N274</f>
        <v>374455867</v>
      </c>
      <c r="O275" s="17"/>
    </row>
    <row r="276" spans="1:17" x14ac:dyDescent="0.2">
      <c r="B276" t="s">
        <v>104</v>
      </c>
      <c r="C276" s="17">
        <v>27054301</v>
      </c>
      <c r="D276" s="17">
        <v>66502715</v>
      </c>
      <c r="E276" s="17">
        <v>95488340</v>
      </c>
      <c r="F276" s="17">
        <v>127439353</v>
      </c>
      <c r="G276" s="17">
        <v>156289803</v>
      </c>
      <c r="H276" s="17">
        <v>183629513</v>
      </c>
      <c r="I276" s="17">
        <v>207007058</v>
      </c>
      <c r="J276" s="17">
        <v>236046832</v>
      </c>
      <c r="K276" s="17">
        <v>278213537</v>
      </c>
      <c r="L276" s="17">
        <v>307574120</v>
      </c>
      <c r="M276" s="17">
        <v>340287414</v>
      </c>
      <c r="N276" s="17">
        <v>374404379</v>
      </c>
    </row>
    <row r="277" spans="1:17" x14ac:dyDescent="0.2">
      <c r="B277" t="s">
        <v>105</v>
      </c>
      <c r="C277" s="17">
        <f>C276-C275</f>
        <v>1</v>
      </c>
      <c r="D277" s="17">
        <f>D276-D275</f>
        <v>-1</v>
      </c>
      <c r="E277" s="17">
        <f>E276-E275</f>
        <v>-1</v>
      </c>
      <c r="F277" s="17">
        <f>F276-F275</f>
        <v>2</v>
      </c>
      <c r="G277" s="17">
        <f t="shared" ref="G277:N277" si="139">G276-G275</f>
        <v>2</v>
      </c>
      <c r="H277" s="17">
        <f t="shared" si="139"/>
        <v>3</v>
      </c>
      <c r="I277" s="17">
        <f t="shared" si="139"/>
        <v>2</v>
      </c>
      <c r="J277" s="17">
        <f t="shared" si="139"/>
        <v>1</v>
      </c>
      <c r="K277" s="17">
        <f t="shared" si="139"/>
        <v>2</v>
      </c>
      <c r="L277" s="17">
        <f t="shared" si="139"/>
        <v>5</v>
      </c>
      <c r="M277" s="17">
        <f t="shared" si="139"/>
        <v>3</v>
      </c>
      <c r="N277" s="17">
        <f t="shared" si="139"/>
        <v>-51488</v>
      </c>
    </row>
    <row r="279" spans="1:17" x14ac:dyDescent="0.2">
      <c r="B279" t="s">
        <v>193</v>
      </c>
      <c r="C279" s="17"/>
      <c r="D279" s="20"/>
      <c r="E279" s="20"/>
      <c r="F279" s="20"/>
      <c r="G279" s="20"/>
      <c r="H279" s="20"/>
      <c r="I279" s="20">
        <v>100</v>
      </c>
      <c r="J279" s="20"/>
      <c r="K279" s="20"/>
      <c r="L279" s="20"/>
    </row>
    <row r="282" spans="1:17" x14ac:dyDescent="0.2"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7"/>
    </row>
    <row r="284" spans="1:17" x14ac:dyDescent="0.2">
      <c r="C284" s="18">
        <v>41091</v>
      </c>
      <c r="D284" s="18">
        <v>41122</v>
      </c>
      <c r="E284" s="18">
        <v>41153</v>
      </c>
      <c r="F284" s="18">
        <v>41183</v>
      </c>
      <c r="G284" s="18">
        <v>41214</v>
      </c>
      <c r="H284" s="18">
        <v>41244</v>
      </c>
      <c r="I284" s="18">
        <v>41275</v>
      </c>
      <c r="J284" s="18">
        <v>41306</v>
      </c>
      <c r="K284" s="18">
        <v>41334</v>
      </c>
      <c r="L284" s="18">
        <v>41365</v>
      </c>
      <c r="M284" s="18">
        <v>41395</v>
      </c>
      <c r="N284" s="18">
        <v>41426</v>
      </c>
      <c r="O284" s="17" t="s">
        <v>192</v>
      </c>
      <c r="Q284" s="31"/>
    </row>
    <row r="285" spans="1:17" x14ac:dyDescent="0.2">
      <c r="A285" s="16" t="s">
        <v>33</v>
      </c>
      <c r="B285" s="16" t="s">
        <v>34</v>
      </c>
      <c r="C285" s="17">
        <v>18687430</v>
      </c>
      <c r="D285" s="17">
        <v>19695461</v>
      </c>
      <c r="E285" s="17">
        <v>30173977</v>
      </c>
      <c r="F285" s="17">
        <v>21337510</v>
      </c>
      <c r="G285" s="17">
        <v>17516811</v>
      </c>
      <c r="H285" s="17">
        <v>21320887</v>
      </c>
      <c r="I285" s="17">
        <v>14238570</v>
      </c>
      <c r="J285" s="17">
        <v>20140700</v>
      </c>
      <c r="K285" s="17">
        <v>30428158</v>
      </c>
      <c r="L285" s="17">
        <v>19264045</v>
      </c>
      <c r="M285" s="17">
        <v>20591857</v>
      </c>
      <c r="N285" s="17">
        <v>20165704</v>
      </c>
      <c r="O285" s="17">
        <f>SUM(C285:N285)</f>
        <v>253561110</v>
      </c>
      <c r="Q285" s="17">
        <f>O285-P285</f>
        <v>253561110</v>
      </c>
    </row>
    <row r="286" spans="1:17" x14ac:dyDescent="0.2">
      <c r="A286" s="16" t="s">
        <v>35</v>
      </c>
      <c r="B286" s="16" t="s">
        <v>36</v>
      </c>
      <c r="C286" s="17">
        <v>63816</v>
      </c>
      <c r="D286" s="17">
        <v>69981</v>
      </c>
      <c r="E286" s="17">
        <v>113788</v>
      </c>
      <c r="F286" s="17">
        <v>72306</v>
      </c>
      <c r="G286" s="17">
        <v>144712</v>
      </c>
      <c r="H286" s="17">
        <v>106716</v>
      </c>
      <c r="I286" s="17">
        <v>122278</v>
      </c>
      <c r="J286" s="17">
        <v>124184</v>
      </c>
      <c r="K286" s="17">
        <v>136107</v>
      </c>
      <c r="L286" s="17">
        <v>126880</v>
      </c>
      <c r="M286" s="17">
        <v>63543</v>
      </c>
      <c r="N286" s="17">
        <v>104745</v>
      </c>
      <c r="O286" s="17">
        <f>SUM(C286:N286)</f>
        <v>1249056</v>
      </c>
      <c r="Q286" s="17">
        <f>O286-P286</f>
        <v>1249056</v>
      </c>
    </row>
    <row r="287" spans="1:17" x14ac:dyDescent="0.2">
      <c r="A287" s="16" t="s">
        <v>37</v>
      </c>
      <c r="B287" s="16" t="s">
        <v>38</v>
      </c>
      <c r="C287" s="17"/>
      <c r="D287" s="17"/>
      <c r="E287" s="17"/>
      <c r="F287" s="17">
        <v>39635</v>
      </c>
      <c r="G287" s="17">
        <v>-39635</v>
      </c>
      <c r="H287" s="17"/>
      <c r="I287" s="17"/>
      <c r="J287" s="17"/>
      <c r="K287" s="17"/>
      <c r="L287" s="17"/>
      <c r="M287" s="17"/>
      <c r="N287" s="17"/>
      <c r="O287" s="17">
        <f t="shared" ref="O287:O317" si="140">SUM(C287:N287)</f>
        <v>0</v>
      </c>
      <c r="Q287" s="17">
        <f t="shared" ref="Q287:Q305" si="141">O287-P287</f>
        <v>0</v>
      </c>
    </row>
    <row r="288" spans="1:17" x14ac:dyDescent="0.2">
      <c r="A288" s="16" t="s">
        <v>39</v>
      </c>
      <c r="B288" s="16" t="s">
        <v>40</v>
      </c>
      <c r="C288" s="17">
        <v>114135</v>
      </c>
      <c r="D288" s="17">
        <v>127503</v>
      </c>
      <c r="E288" s="17">
        <v>182554</v>
      </c>
      <c r="F288" s="17">
        <v>137798</v>
      </c>
      <c r="G288" s="17">
        <v>106668</v>
      </c>
      <c r="H288" s="17">
        <v>136789</v>
      </c>
      <c r="I288" s="17">
        <v>128482</v>
      </c>
      <c r="J288" s="17">
        <v>210842</v>
      </c>
      <c r="K288" s="17">
        <v>236964</v>
      </c>
      <c r="L288" s="17">
        <v>150110</v>
      </c>
      <c r="M288" s="17">
        <v>143376</v>
      </c>
      <c r="N288" s="17">
        <v>145149</v>
      </c>
      <c r="O288" s="17">
        <f t="shared" si="140"/>
        <v>1820370</v>
      </c>
      <c r="Q288" s="17">
        <f t="shared" si="141"/>
        <v>1820370</v>
      </c>
    </row>
    <row r="289" spans="1:17" x14ac:dyDescent="0.2">
      <c r="A289" s="16" t="s">
        <v>41</v>
      </c>
      <c r="B289" s="16" t="s">
        <v>42</v>
      </c>
      <c r="C289" s="17">
        <v>150356</v>
      </c>
      <c r="D289" s="17">
        <v>106909</v>
      </c>
      <c r="E289" s="17">
        <v>147780</v>
      </c>
      <c r="F289" s="17">
        <v>150591</v>
      </c>
      <c r="G289" s="17">
        <v>115476</v>
      </c>
      <c r="H289" s="17">
        <v>141634</v>
      </c>
      <c r="I289" s="17">
        <v>174853</v>
      </c>
      <c r="J289" s="17">
        <v>165432</v>
      </c>
      <c r="K289" s="17">
        <v>112802</v>
      </c>
      <c r="L289" s="17">
        <v>128574</v>
      </c>
      <c r="M289" s="17">
        <v>98931</v>
      </c>
      <c r="N289" s="17">
        <v>163072</v>
      </c>
      <c r="O289" s="17">
        <f t="shared" si="140"/>
        <v>1656410</v>
      </c>
      <c r="Q289" s="17">
        <f t="shared" si="141"/>
        <v>1656410</v>
      </c>
    </row>
    <row r="290" spans="1:17" x14ac:dyDescent="0.2">
      <c r="A290" s="16" t="s">
        <v>43</v>
      </c>
      <c r="B290" s="16" t="s">
        <v>44</v>
      </c>
      <c r="C290" s="17"/>
      <c r="D290" s="17"/>
      <c r="E290" s="17"/>
      <c r="F290" s="17"/>
      <c r="G290" s="17"/>
      <c r="H290" s="17"/>
      <c r="I290" s="17"/>
      <c r="J290" s="17">
        <v>0</v>
      </c>
      <c r="K290" s="17">
        <v>1190</v>
      </c>
      <c r="L290" s="17"/>
      <c r="M290" s="17"/>
      <c r="N290" s="17">
        <v>0</v>
      </c>
      <c r="O290" s="17">
        <f t="shared" si="140"/>
        <v>1190</v>
      </c>
      <c r="Q290" s="17">
        <f t="shared" si="141"/>
        <v>1190</v>
      </c>
    </row>
    <row r="291" spans="1:17" x14ac:dyDescent="0.2">
      <c r="A291" s="16" t="s">
        <v>45</v>
      </c>
      <c r="B291" s="16" t="s">
        <v>46</v>
      </c>
      <c r="C291" s="17">
        <v>2296707</v>
      </c>
      <c r="D291" s="17">
        <v>5531834</v>
      </c>
      <c r="E291" s="17">
        <v>3744268</v>
      </c>
      <c r="F291" s="17">
        <v>3260277</v>
      </c>
      <c r="G291" s="17">
        <v>3904415</v>
      </c>
      <c r="H291" s="17">
        <v>2147028</v>
      </c>
      <c r="I291" s="17">
        <v>2822245</v>
      </c>
      <c r="J291" s="17">
        <v>2454564</v>
      </c>
      <c r="K291" s="17">
        <v>3177330</v>
      </c>
      <c r="L291" s="17">
        <v>3714252</v>
      </c>
      <c r="M291" s="17">
        <v>3396115</v>
      </c>
      <c r="N291" s="17">
        <v>4943024</v>
      </c>
      <c r="O291" s="17">
        <f t="shared" si="140"/>
        <v>41392059</v>
      </c>
      <c r="Q291" s="17">
        <f t="shared" si="141"/>
        <v>41392059</v>
      </c>
    </row>
    <row r="292" spans="1:17" x14ac:dyDescent="0.2">
      <c r="A292" s="16" t="s">
        <v>47</v>
      </c>
      <c r="B292" s="16" t="s">
        <v>48</v>
      </c>
      <c r="C292" s="17">
        <v>143179</v>
      </c>
      <c r="D292" s="17">
        <v>119047</v>
      </c>
      <c r="E292" s="17">
        <v>212601</v>
      </c>
      <c r="F292" s="17">
        <v>195171</v>
      </c>
      <c r="G292" s="17">
        <v>107886</v>
      </c>
      <c r="H292" s="17">
        <v>105976</v>
      </c>
      <c r="I292" s="17">
        <v>133318</v>
      </c>
      <c r="J292" s="17">
        <v>494139</v>
      </c>
      <c r="K292" s="17">
        <v>144409</v>
      </c>
      <c r="L292" s="17">
        <v>421626</v>
      </c>
      <c r="M292" s="17">
        <v>168902</v>
      </c>
      <c r="N292" s="17">
        <v>470359</v>
      </c>
      <c r="O292" s="17">
        <f t="shared" si="140"/>
        <v>2716613</v>
      </c>
      <c r="Q292" s="17">
        <f t="shared" si="141"/>
        <v>2716613</v>
      </c>
    </row>
    <row r="293" spans="1:17" x14ac:dyDescent="0.2">
      <c r="A293" s="16" t="s">
        <v>49</v>
      </c>
      <c r="B293" s="16" t="s">
        <v>50</v>
      </c>
      <c r="C293" s="17"/>
      <c r="D293" s="17"/>
      <c r="E293" s="17"/>
      <c r="F293" s="17"/>
      <c r="G293" s="17">
        <v>5920</v>
      </c>
      <c r="H293" s="17">
        <v>0</v>
      </c>
      <c r="I293" s="17">
        <v>0</v>
      </c>
      <c r="J293" s="17">
        <v>-5920</v>
      </c>
      <c r="K293" s="17">
        <v>0</v>
      </c>
      <c r="L293" s="17">
        <v>0</v>
      </c>
      <c r="M293" s="17">
        <v>0</v>
      </c>
      <c r="N293" s="17">
        <v>9</v>
      </c>
      <c r="O293" s="17">
        <f t="shared" si="140"/>
        <v>9</v>
      </c>
      <c r="Q293" s="17">
        <f t="shared" si="141"/>
        <v>9</v>
      </c>
    </row>
    <row r="294" spans="1:17" x14ac:dyDescent="0.2">
      <c r="A294" s="16" t="s">
        <v>51</v>
      </c>
      <c r="B294" s="16" t="s">
        <v>52</v>
      </c>
      <c r="C294" s="17">
        <v>740053</v>
      </c>
      <c r="D294" s="17">
        <v>1239395</v>
      </c>
      <c r="E294" s="17">
        <v>1387784</v>
      </c>
      <c r="F294" s="17">
        <v>1330406</v>
      </c>
      <c r="G294" s="17">
        <v>1115179</v>
      </c>
      <c r="H294" s="17">
        <v>1110626</v>
      </c>
      <c r="I294" s="17">
        <v>749646</v>
      </c>
      <c r="J294" s="17">
        <v>772488</v>
      </c>
      <c r="K294" s="17">
        <v>1138053</v>
      </c>
      <c r="L294" s="17">
        <v>912563</v>
      </c>
      <c r="M294" s="17">
        <v>1117332</v>
      </c>
      <c r="N294" s="17">
        <v>1644407</v>
      </c>
      <c r="O294" s="17">
        <f t="shared" si="140"/>
        <v>13257932</v>
      </c>
      <c r="Q294" s="17">
        <f t="shared" si="141"/>
        <v>13257932</v>
      </c>
    </row>
    <row r="295" spans="1:17" x14ac:dyDescent="0.2">
      <c r="A295" s="16" t="s">
        <v>53</v>
      </c>
      <c r="B295" s="16" t="s">
        <v>54</v>
      </c>
      <c r="C295" s="17">
        <v>112695</v>
      </c>
      <c r="D295" s="17">
        <v>104336</v>
      </c>
      <c r="E295" s="17">
        <v>111830</v>
      </c>
      <c r="F295" s="17">
        <v>221956</v>
      </c>
      <c r="G295" s="17">
        <v>292932</v>
      </c>
      <c r="H295" s="17">
        <v>185114</v>
      </c>
      <c r="I295" s="17">
        <v>159886</v>
      </c>
      <c r="J295" s="17">
        <v>107472</v>
      </c>
      <c r="K295" s="17">
        <v>291737</v>
      </c>
      <c r="L295" s="17">
        <v>287009</v>
      </c>
      <c r="M295" s="17">
        <v>308872</v>
      </c>
      <c r="N295" s="17">
        <v>345400</v>
      </c>
      <c r="O295" s="17">
        <f t="shared" si="140"/>
        <v>2529239</v>
      </c>
      <c r="Q295" s="17">
        <f t="shared" si="141"/>
        <v>2529239</v>
      </c>
    </row>
    <row r="296" spans="1:17" x14ac:dyDescent="0.2">
      <c r="A296" s="16" t="s">
        <v>55</v>
      </c>
      <c r="B296" s="16" t="s">
        <v>56</v>
      </c>
      <c r="C296" s="17">
        <v>209508</v>
      </c>
      <c r="D296" s="17">
        <v>222502</v>
      </c>
      <c r="E296" s="17">
        <v>204702</v>
      </c>
      <c r="F296" s="17">
        <v>76066</v>
      </c>
      <c r="G296" s="17">
        <v>260788</v>
      </c>
      <c r="H296" s="17">
        <v>248290</v>
      </c>
      <c r="I296" s="17">
        <v>277598</v>
      </c>
      <c r="J296" s="17">
        <v>241403</v>
      </c>
      <c r="K296" s="17">
        <v>242057</v>
      </c>
      <c r="L296" s="17">
        <v>279673</v>
      </c>
      <c r="M296" s="17">
        <v>314259</v>
      </c>
      <c r="N296" s="17">
        <v>377559</v>
      </c>
      <c r="O296" s="17">
        <f t="shared" si="140"/>
        <v>2954405</v>
      </c>
      <c r="Q296" s="17">
        <f t="shared" si="141"/>
        <v>2954405</v>
      </c>
    </row>
    <row r="297" spans="1:17" x14ac:dyDescent="0.2">
      <c r="A297" s="16" t="s">
        <v>57</v>
      </c>
      <c r="B297" s="16" t="s">
        <v>58</v>
      </c>
      <c r="C297" s="17">
        <v>68696</v>
      </c>
      <c r="D297" s="17">
        <v>47985</v>
      </c>
      <c r="E297" s="17">
        <v>96679</v>
      </c>
      <c r="F297" s="17">
        <v>85470</v>
      </c>
      <c r="G297" s="17">
        <v>78263</v>
      </c>
      <c r="H297" s="17">
        <v>137821</v>
      </c>
      <c r="I297" s="17">
        <v>102957</v>
      </c>
      <c r="J297" s="17">
        <v>51791</v>
      </c>
      <c r="K297" s="17">
        <v>80594</v>
      </c>
      <c r="L297" s="17">
        <v>112953</v>
      </c>
      <c r="M297" s="17">
        <v>87942</v>
      </c>
      <c r="N297" s="17">
        <v>207236</v>
      </c>
      <c r="O297" s="17">
        <f t="shared" si="140"/>
        <v>1158387</v>
      </c>
      <c r="Q297" s="17">
        <f t="shared" si="141"/>
        <v>1158387</v>
      </c>
    </row>
    <row r="298" spans="1:17" x14ac:dyDescent="0.2">
      <c r="A298" s="16" t="s">
        <v>59</v>
      </c>
      <c r="B298" s="16" t="s">
        <v>60</v>
      </c>
      <c r="C298" s="17">
        <v>2220</v>
      </c>
      <c r="D298" s="17">
        <v>3542</v>
      </c>
      <c r="E298" s="17">
        <v>1110</v>
      </c>
      <c r="F298" s="17">
        <v>5878</v>
      </c>
      <c r="G298" s="17">
        <v>1110</v>
      </c>
      <c r="H298" s="17">
        <v>3102</v>
      </c>
      <c r="I298" s="17">
        <v>1110</v>
      </c>
      <c r="J298" s="17">
        <v>1110</v>
      </c>
      <c r="K298" s="17">
        <v>4180</v>
      </c>
      <c r="L298" s="17">
        <v>2566</v>
      </c>
      <c r="M298" s="17">
        <v>925</v>
      </c>
      <c r="N298" s="17">
        <v>5391</v>
      </c>
      <c r="O298" s="17">
        <f t="shared" si="140"/>
        <v>32244</v>
      </c>
      <c r="Q298" s="17">
        <f t="shared" si="141"/>
        <v>32244</v>
      </c>
    </row>
    <row r="299" spans="1:17" x14ac:dyDescent="0.2">
      <c r="A299" s="16" t="s">
        <v>61</v>
      </c>
      <c r="B299" s="16" t="s">
        <v>62</v>
      </c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>
        <f t="shared" si="140"/>
        <v>0</v>
      </c>
      <c r="Q299" s="17">
        <f t="shared" si="141"/>
        <v>0</v>
      </c>
    </row>
    <row r="300" spans="1:17" x14ac:dyDescent="0.2">
      <c r="A300" s="16" t="s">
        <v>63</v>
      </c>
      <c r="B300" s="16" t="s">
        <v>64</v>
      </c>
      <c r="C300" s="17">
        <v>175146</v>
      </c>
      <c r="D300" s="17">
        <v>0</v>
      </c>
      <c r="E300" s="17">
        <v>87373</v>
      </c>
      <c r="F300" s="17">
        <v>0</v>
      </c>
      <c r="G300" s="17">
        <v>87373</v>
      </c>
      <c r="H300" s="17">
        <v>88813</v>
      </c>
      <c r="I300" s="17">
        <v>87373</v>
      </c>
      <c r="J300" s="17">
        <v>174746</v>
      </c>
      <c r="K300" s="17">
        <v>87373</v>
      </c>
      <c r="L300" s="17">
        <v>82117</v>
      </c>
      <c r="M300" s="17">
        <v>84644</v>
      </c>
      <c r="N300" s="17">
        <v>87373</v>
      </c>
      <c r="O300" s="17">
        <f t="shared" si="140"/>
        <v>1042331</v>
      </c>
      <c r="Q300" s="17">
        <f t="shared" si="141"/>
        <v>1042331</v>
      </c>
    </row>
    <row r="301" spans="1:17" x14ac:dyDescent="0.2">
      <c r="A301" s="16" t="s">
        <v>65</v>
      </c>
      <c r="B301" s="16" t="s">
        <v>66</v>
      </c>
      <c r="F301" s="17"/>
      <c r="G301" s="17"/>
      <c r="H301" s="17"/>
      <c r="I301" s="17"/>
      <c r="J301" s="17"/>
      <c r="K301" s="17"/>
      <c r="L301" s="17"/>
      <c r="M301" s="17"/>
      <c r="N301" s="17"/>
      <c r="O301" s="17">
        <f t="shared" si="140"/>
        <v>0</v>
      </c>
      <c r="Q301" s="17">
        <f t="shared" si="141"/>
        <v>0</v>
      </c>
    </row>
    <row r="302" spans="1:17" x14ac:dyDescent="0.2">
      <c r="A302" s="16" t="s">
        <v>67</v>
      </c>
      <c r="B302" s="16" t="s">
        <v>68</v>
      </c>
      <c r="C302" s="17">
        <v>8567</v>
      </c>
      <c r="D302" s="17">
        <v>26572</v>
      </c>
      <c r="E302" s="17">
        <v>4543</v>
      </c>
      <c r="F302" s="17">
        <v>3409</v>
      </c>
      <c r="G302" s="17">
        <v>11276</v>
      </c>
      <c r="H302" s="17">
        <v>4795</v>
      </c>
      <c r="I302" s="17">
        <v>5443</v>
      </c>
      <c r="J302" s="17">
        <v>3102</v>
      </c>
      <c r="K302" s="17">
        <v>3091</v>
      </c>
      <c r="L302" s="17">
        <v>2340</v>
      </c>
      <c r="M302" s="17">
        <v>3491</v>
      </c>
      <c r="N302" s="17">
        <v>17181</v>
      </c>
      <c r="O302" s="93">
        <f t="shared" si="140"/>
        <v>93810</v>
      </c>
      <c r="Q302" s="17">
        <f t="shared" si="141"/>
        <v>93810</v>
      </c>
    </row>
    <row r="303" spans="1:17" x14ac:dyDescent="0.2">
      <c r="A303" s="16" t="s">
        <v>69</v>
      </c>
      <c r="B303" s="16" t="s">
        <v>70</v>
      </c>
      <c r="C303" s="17">
        <v>25750</v>
      </c>
      <c r="D303" s="17">
        <v>21500</v>
      </c>
      <c r="E303" s="17">
        <v>60220</v>
      </c>
      <c r="F303" s="17">
        <v>101998</v>
      </c>
      <c r="G303" s="17">
        <v>-3778</v>
      </c>
      <c r="H303" s="17">
        <v>21446</v>
      </c>
      <c r="I303" s="17">
        <v>45616</v>
      </c>
      <c r="J303" s="17">
        <v>23511</v>
      </c>
      <c r="K303" s="17">
        <v>97659</v>
      </c>
      <c r="L303" s="17">
        <v>-41607</v>
      </c>
      <c r="M303" s="17">
        <v>18998</v>
      </c>
      <c r="N303" s="17">
        <v>40092</v>
      </c>
      <c r="O303" s="17">
        <f t="shared" si="140"/>
        <v>411405</v>
      </c>
      <c r="Q303" s="17">
        <f t="shared" si="141"/>
        <v>411405</v>
      </c>
    </row>
    <row r="304" spans="1:17" x14ac:dyDescent="0.2">
      <c r="A304" s="16" t="s">
        <v>71</v>
      </c>
      <c r="B304" s="16" t="s">
        <v>72</v>
      </c>
      <c r="C304" s="17">
        <v>12494</v>
      </c>
      <c r="D304" s="17">
        <v>2190</v>
      </c>
      <c r="E304" s="17">
        <v>26301</v>
      </c>
      <c r="F304" s="17">
        <v>31551</v>
      </c>
      <c r="G304" s="17">
        <v>24181</v>
      </c>
      <c r="H304" s="17">
        <v>20587</v>
      </c>
      <c r="I304" s="17">
        <v>20846</v>
      </c>
      <c r="J304" s="17">
        <v>0</v>
      </c>
      <c r="K304" s="17">
        <v>9394</v>
      </c>
      <c r="L304" s="17">
        <v>27056</v>
      </c>
      <c r="M304" s="17">
        <v>15687</v>
      </c>
      <c r="N304" s="17">
        <v>22519</v>
      </c>
      <c r="O304" s="17">
        <f t="shared" si="140"/>
        <v>212806</v>
      </c>
      <c r="Q304" s="17">
        <f t="shared" si="141"/>
        <v>212806</v>
      </c>
    </row>
    <row r="305" spans="1:17" x14ac:dyDescent="0.2">
      <c r="A305" s="16" t="s">
        <v>73</v>
      </c>
      <c r="B305" s="16" t="s">
        <v>74</v>
      </c>
      <c r="C305" s="17">
        <v>111160</v>
      </c>
      <c r="D305" s="17">
        <v>28482</v>
      </c>
      <c r="E305" s="17">
        <v>79569</v>
      </c>
      <c r="F305" s="17">
        <v>127814</v>
      </c>
      <c r="G305" s="17">
        <v>78257</v>
      </c>
      <c r="H305" s="17">
        <v>113829</v>
      </c>
      <c r="I305" s="17">
        <v>92767</v>
      </c>
      <c r="J305" s="17">
        <v>88492</v>
      </c>
      <c r="K305" s="17">
        <v>91749</v>
      </c>
      <c r="L305" s="17">
        <v>39438</v>
      </c>
      <c r="M305" s="17">
        <v>127246</v>
      </c>
      <c r="N305" s="17">
        <v>73347</v>
      </c>
      <c r="O305" s="17">
        <f t="shared" si="140"/>
        <v>1052150</v>
      </c>
      <c r="Q305" s="17">
        <f t="shared" si="141"/>
        <v>1052150</v>
      </c>
    </row>
    <row r="306" spans="1:17" x14ac:dyDescent="0.2">
      <c r="A306" s="16" t="s">
        <v>171</v>
      </c>
      <c r="B306" s="16" t="s">
        <v>172</v>
      </c>
      <c r="C306" s="17"/>
      <c r="D306" s="17">
        <v>2000</v>
      </c>
      <c r="E306" s="17">
        <v>9500</v>
      </c>
      <c r="F306" s="17">
        <v>28000</v>
      </c>
      <c r="G306" s="17">
        <v>8000</v>
      </c>
      <c r="H306" s="17">
        <v>10000</v>
      </c>
      <c r="I306" s="17">
        <v>0</v>
      </c>
      <c r="J306" s="17">
        <v>5754</v>
      </c>
      <c r="K306" s="17">
        <v>20500</v>
      </c>
      <c r="L306" s="17">
        <v>14000</v>
      </c>
      <c r="M306" s="17">
        <v>36144</v>
      </c>
      <c r="N306" s="17">
        <v>13238</v>
      </c>
      <c r="O306" s="17">
        <f t="shared" si="140"/>
        <v>147136</v>
      </c>
    </row>
    <row r="307" spans="1:17" x14ac:dyDescent="0.2">
      <c r="A307" s="16">
        <v>44960</v>
      </c>
      <c r="B307" s="16" t="s">
        <v>131</v>
      </c>
      <c r="C307" s="17">
        <v>19000</v>
      </c>
      <c r="D307" s="17">
        <v>6800</v>
      </c>
      <c r="E307" s="17">
        <v>6000</v>
      </c>
      <c r="F307" s="17">
        <v>27050</v>
      </c>
      <c r="G307" s="17">
        <v>7000</v>
      </c>
      <c r="H307" s="17">
        <v>3316</v>
      </c>
      <c r="I307" s="17">
        <v>6500</v>
      </c>
      <c r="J307" s="17">
        <v>28175</v>
      </c>
      <c r="K307" s="17">
        <v>55000</v>
      </c>
      <c r="L307" s="17">
        <v>19155</v>
      </c>
      <c r="M307" s="17">
        <v>9500</v>
      </c>
      <c r="N307" s="17">
        <v>20250</v>
      </c>
      <c r="O307" s="17">
        <f t="shared" si="140"/>
        <v>207746</v>
      </c>
      <c r="Q307" s="17">
        <f>O307-P307</f>
        <v>207746</v>
      </c>
    </row>
    <row r="308" spans="1:17" x14ac:dyDescent="0.2">
      <c r="A308" s="16" t="s">
        <v>75</v>
      </c>
      <c r="B308" s="16" t="s">
        <v>76</v>
      </c>
      <c r="C308" s="17">
        <v>7273</v>
      </c>
      <c r="D308" s="17">
        <v>1063</v>
      </c>
      <c r="E308" s="17">
        <v>7008</v>
      </c>
      <c r="F308" s="17">
        <v>7293</v>
      </c>
      <c r="G308" s="17">
        <v>22628</v>
      </c>
      <c r="H308" s="17">
        <v>4866</v>
      </c>
      <c r="I308" s="17">
        <v>-2967</v>
      </c>
      <c r="J308" s="17">
        <v>8597</v>
      </c>
      <c r="K308" s="17">
        <v>2447</v>
      </c>
      <c r="L308" s="17">
        <v>3858</v>
      </c>
      <c r="M308" s="17">
        <v>11068</v>
      </c>
      <c r="N308" s="17">
        <v>7368</v>
      </c>
      <c r="O308" s="17">
        <f t="shared" si="140"/>
        <v>80502</v>
      </c>
      <c r="Q308" s="17">
        <f>O308-P308</f>
        <v>80502</v>
      </c>
    </row>
    <row r="309" spans="1:17" x14ac:dyDescent="0.2">
      <c r="A309" s="16" t="s">
        <v>77</v>
      </c>
      <c r="B309" s="16" t="s">
        <v>78</v>
      </c>
      <c r="C309" s="17">
        <v>53770</v>
      </c>
      <c r="D309" s="17">
        <v>16794</v>
      </c>
      <c r="E309" s="17">
        <v>37754</v>
      </c>
      <c r="F309" s="17">
        <v>33087</v>
      </c>
      <c r="G309" s="17">
        <v>68473</v>
      </c>
      <c r="H309" s="17">
        <v>34694</v>
      </c>
      <c r="I309" s="17">
        <v>32209</v>
      </c>
      <c r="J309" s="17">
        <v>30038</v>
      </c>
      <c r="K309" s="17">
        <v>66176</v>
      </c>
      <c r="L309" s="17">
        <v>57132</v>
      </c>
      <c r="M309" s="17">
        <v>65631</v>
      </c>
      <c r="N309" s="17">
        <v>127419</v>
      </c>
      <c r="O309" s="17">
        <f t="shared" si="140"/>
        <v>623177</v>
      </c>
      <c r="Q309" s="17">
        <f>O309-P309</f>
        <v>623177</v>
      </c>
    </row>
    <row r="310" spans="1:17" x14ac:dyDescent="0.2">
      <c r="A310" s="16" t="s">
        <v>79</v>
      </c>
      <c r="B310" s="16" t="s">
        <v>80</v>
      </c>
      <c r="C310" s="17">
        <v>17569</v>
      </c>
      <c r="D310" s="17">
        <v>17480</v>
      </c>
      <c r="E310" s="17">
        <v>23456</v>
      </c>
      <c r="F310" s="17">
        <v>44323</v>
      </c>
      <c r="G310" s="17">
        <v>23851</v>
      </c>
      <c r="H310" s="17">
        <v>23083</v>
      </c>
      <c r="I310" s="17">
        <v>27736</v>
      </c>
      <c r="J310" s="17">
        <v>16586</v>
      </c>
      <c r="K310" s="17">
        <v>15177</v>
      </c>
      <c r="L310" s="17">
        <v>24397</v>
      </c>
      <c r="M310" s="17">
        <v>82492</v>
      </c>
      <c r="N310" s="17">
        <v>-12198</v>
      </c>
      <c r="O310" s="17">
        <f t="shared" si="140"/>
        <v>303952</v>
      </c>
      <c r="Q310" s="17">
        <f>O310-P310</f>
        <v>303952</v>
      </c>
    </row>
    <row r="311" spans="1:17" x14ac:dyDescent="0.2">
      <c r="A311" s="16" t="s">
        <v>81</v>
      </c>
      <c r="B311" s="16" t="s">
        <v>82</v>
      </c>
      <c r="C311" s="17">
        <v>1268674</v>
      </c>
      <c r="D311" s="17">
        <v>517919</v>
      </c>
      <c r="E311" s="17">
        <v>618047</v>
      </c>
      <c r="F311" s="17">
        <v>1171634</v>
      </c>
      <c r="G311" s="17">
        <v>636911</v>
      </c>
      <c r="H311" s="17">
        <v>720973</v>
      </c>
      <c r="I311" s="17">
        <v>653337</v>
      </c>
      <c r="J311" s="17">
        <v>611307</v>
      </c>
      <c r="K311" s="17">
        <v>736888</v>
      </c>
      <c r="L311" s="17">
        <v>938833</v>
      </c>
      <c r="M311" s="17">
        <v>596407</v>
      </c>
      <c r="N311" s="17">
        <v>1598410</v>
      </c>
      <c r="O311" s="17">
        <f t="shared" si="140"/>
        <v>10069340</v>
      </c>
      <c r="Q311" s="17">
        <f t="shared" ref="Q311:Q317" si="142">O311-P311</f>
        <v>10069340</v>
      </c>
    </row>
    <row r="312" spans="1:17" x14ac:dyDescent="0.2">
      <c r="A312" s="16" t="s">
        <v>83</v>
      </c>
      <c r="B312" s="16" t="s">
        <v>84</v>
      </c>
      <c r="C312" s="17">
        <v>1287391</v>
      </c>
      <c r="D312" s="17">
        <v>703721</v>
      </c>
      <c r="E312" s="17">
        <v>423947</v>
      </c>
      <c r="F312" s="17">
        <v>2031145</v>
      </c>
      <c r="G312" s="17">
        <v>1438600</v>
      </c>
      <c r="H312" s="17">
        <v>910893</v>
      </c>
      <c r="I312" s="17">
        <v>1164439</v>
      </c>
      <c r="J312" s="17">
        <v>1525011</v>
      </c>
      <c r="K312" s="17">
        <v>1651475</v>
      </c>
      <c r="L312" s="17">
        <v>1393587</v>
      </c>
      <c r="M312" s="17">
        <v>1571787</v>
      </c>
      <c r="N312" s="17">
        <v>2384242</v>
      </c>
      <c r="O312" s="17">
        <f t="shared" si="140"/>
        <v>16486238</v>
      </c>
      <c r="Q312" s="17">
        <f t="shared" si="142"/>
        <v>16486238</v>
      </c>
    </row>
    <row r="313" spans="1:17" x14ac:dyDescent="0.2">
      <c r="A313" s="16" t="s">
        <v>85</v>
      </c>
      <c r="B313" s="16" t="s">
        <v>86</v>
      </c>
      <c r="C313" s="17">
        <v>0</v>
      </c>
      <c r="D313" s="17">
        <v>900</v>
      </c>
      <c r="E313" s="17">
        <v>0</v>
      </c>
      <c r="F313" s="17">
        <v>300</v>
      </c>
      <c r="G313" s="17">
        <v>1390</v>
      </c>
      <c r="H313" s="17">
        <v>10295</v>
      </c>
      <c r="I313" s="17">
        <v>5298</v>
      </c>
      <c r="J313" s="17">
        <v>110</v>
      </c>
      <c r="K313" s="17">
        <v>100</v>
      </c>
      <c r="L313" s="17">
        <v>5073</v>
      </c>
      <c r="M313" s="17">
        <v>0</v>
      </c>
      <c r="N313" s="17">
        <v>861</v>
      </c>
      <c r="O313" s="17">
        <f t="shared" si="140"/>
        <v>24327</v>
      </c>
      <c r="Q313" s="17">
        <f t="shared" si="142"/>
        <v>24327</v>
      </c>
    </row>
    <row r="314" spans="1:17" x14ac:dyDescent="0.2">
      <c r="A314" s="16" t="s">
        <v>87</v>
      </c>
      <c r="B314" s="16" t="s">
        <v>88</v>
      </c>
      <c r="C314" s="17">
        <v>-15021</v>
      </c>
      <c r="D314" s="17">
        <v>-7283</v>
      </c>
      <c r="E314" s="17">
        <v>-47225</v>
      </c>
      <c r="F314" s="17">
        <v>-11836</v>
      </c>
      <c r="G314" s="17">
        <v>-3209</v>
      </c>
      <c r="H314" s="17">
        <v>-7465</v>
      </c>
      <c r="I314" s="17">
        <v>-4372</v>
      </c>
      <c r="J314" s="17">
        <v>3986</v>
      </c>
      <c r="K314" s="17">
        <v>14769</v>
      </c>
      <c r="L314" s="17">
        <v>5059</v>
      </c>
      <c r="M314" s="17">
        <v>66</v>
      </c>
      <c r="N314" s="17">
        <v>5779</v>
      </c>
      <c r="O314" s="17">
        <f t="shared" si="140"/>
        <v>-66752</v>
      </c>
      <c r="Q314" s="17">
        <f t="shared" si="142"/>
        <v>-66752</v>
      </c>
    </row>
    <row r="315" spans="1:17" x14ac:dyDescent="0.2">
      <c r="A315" s="16" t="s">
        <v>89</v>
      </c>
      <c r="B315" s="16" t="s">
        <v>90</v>
      </c>
      <c r="C315" s="17">
        <v>24874</v>
      </c>
      <c r="D315" s="17">
        <v>39175</v>
      </c>
      <c r="E315" s="17">
        <v>93310</v>
      </c>
      <c r="F315" s="17">
        <v>122118</v>
      </c>
      <c r="G315" s="17">
        <v>19475</v>
      </c>
      <c r="H315" s="17">
        <v>225195</v>
      </c>
      <c r="I315" s="17">
        <v>20286</v>
      </c>
      <c r="J315" s="17">
        <v>-52495</v>
      </c>
      <c r="K315" s="17">
        <v>41826</v>
      </c>
      <c r="L315" s="17">
        <v>12590</v>
      </c>
      <c r="M315" s="17">
        <v>342753</v>
      </c>
      <c r="N315" s="17">
        <v>137779</v>
      </c>
      <c r="O315" s="17">
        <f t="shared" si="140"/>
        <v>1026886</v>
      </c>
      <c r="Q315" s="17">
        <f t="shared" si="142"/>
        <v>1026886</v>
      </c>
    </row>
    <row r="316" spans="1:17" x14ac:dyDescent="0.2">
      <c r="A316" s="16" t="s">
        <v>91</v>
      </c>
      <c r="B316" s="16" t="s">
        <v>92</v>
      </c>
      <c r="C316" s="17">
        <v>750</v>
      </c>
      <c r="D316" s="17">
        <v>0</v>
      </c>
      <c r="E316" s="17">
        <v>0</v>
      </c>
      <c r="F316" s="17">
        <v>0</v>
      </c>
      <c r="G316" s="17">
        <v>0</v>
      </c>
      <c r="H316" s="17">
        <v>0</v>
      </c>
      <c r="I316" s="17">
        <v>0</v>
      </c>
      <c r="J316" s="17">
        <v>0</v>
      </c>
      <c r="K316" s="17">
        <v>0</v>
      </c>
      <c r="L316" s="17">
        <v>0</v>
      </c>
      <c r="M316" s="17"/>
      <c r="N316" s="17">
        <v>0</v>
      </c>
      <c r="O316" s="17">
        <f t="shared" si="140"/>
        <v>750</v>
      </c>
      <c r="Q316" s="17">
        <f t="shared" si="142"/>
        <v>750</v>
      </c>
    </row>
    <row r="317" spans="1:17" x14ac:dyDescent="0.2">
      <c r="A317" s="16" t="s">
        <v>93</v>
      </c>
      <c r="B317" s="16" t="s">
        <v>94</v>
      </c>
      <c r="C317" s="17">
        <v>0</v>
      </c>
      <c r="D317" s="17">
        <v>146</v>
      </c>
      <c r="E317" s="17">
        <v>0</v>
      </c>
      <c r="F317" s="17">
        <v>152</v>
      </c>
      <c r="G317" s="17">
        <v>2527</v>
      </c>
      <c r="H317" s="17">
        <v>366</v>
      </c>
      <c r="I317" s="17">
        <v>0</v>
      </c>
      <c r="J317" s="17">
        <v>2348</v>
      </c>
      <c r="K317" s="17">
        <v>0</v>
      </c>
      <c r="L317" s="17">
        <v>-29570</v>
      </c>
      <c r="M317" s="17">
        <v>-10</v>
      </c>
      <c r="N317" s="17">
        <v>4109</v>
      </c>
      <c r="O317" s="17">
        <f t="shared" si="140"/>
        <v>-19932</v>
      </c>
      <c r="Q317" s="17">
        <f t="shared" si="142"/>
        <v>-19932</v>
      </c>
    </row>
    <row r="318" spans="1:17" x14ac:dyDescent="0.2">
      <c r="A318" s="16" t="s">
        <v>180</v>
      </c>
      <c r="B318" s="16" t="s">
        <v>174</v>
      </c>
      <c r="K318" s="17">
        <v>0</v>
      </c>
      <c r="L318" s="17">
        <v>0</v>
      </c>
      <c r="M318" s="17">
        <v>0</v>
      </c>
      <c r="N318" s="17">
        <v>0</v>
      </c>
    </row>
    <row r="319" spans="1:17" x14ac:dyDescent="0.2">
      <c r="A319" s="16" t="s">
        <v>95</v>
      </c>
      <c r="B319" s="16" t="s">
        <v>96</v>
      </c>
      <c r="C319" s="17"/>
      <c r="D319" s="17"/>
      <c r="E319" s="17"/>
      <c r="F319" s="17"/>
      <c r="G319" s="17"/>
      <c r="H319" s="17"/>
      <c r="I319" s="17"/>
      <c r="J319" s="17"/>
      <c r="K319" s="17">
        <v>0</v>
      </c>
      <c r="L319" s="17">
        <v>0</v>
      </c>
      <c r="M319" s="17">
        <v>0</v>
      </c>
      <c r="N319" s="17">
        <v>0</v>
      </c>
      <c r="O319" s="17">
        <f>SUM(C319:N319)</f>
        <v>0</v>
      </c>
      <c r="Q319" s="17">
        <f>O319-P319</f>
        <v>0</v>
      </c>
    </row>
    <row r="320" spans="1:17" x14ac:dyDescent="0.2">
      <c r="A320" s="16" t="s">
        <v>97</v>
      </c>
      <c r="B320" s="16" t="s">
        <v>98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f>SUM(C320:N320)</f>
        <v>0</v>
      </c>
      <c r="Q320" s="17">
        <f>O320-P320</f>
        <v>0</v>
      </c>
    </row>
    <row r="321" spans="1:18" x14ac:dyDescent="0.2">
      <c r="A321" s="16" t="s">
        <v>133</v>
      </c>
      <c r="B321" s="16" t="s">
        <v>132</v>
      </c>
      <c r="C321" s="17">
        <v>1250</v>
      </c>
      <c r="D321" s="17">
        <v>36449</v>
      </c>
      <c r="E321" s="17">
        <v>0</v>
      </c>
      <c r="F321" s="17">
        <v>-20711</v>
      </c>
      <c r="G321" s="17">
        <v>10247</v>
      </c>
      <c r="H321" s="17">
        <v>7403</v>
      </c>
      <c r="I321" s="17">
        <v>9925</v>
      </c>
      <c r="J321" s="17">
        <v>0</v>
      </c>
      <c r="K321" s="17">
        <v>0</v>
      </c>
      <c r="L321" s="17">
        <v>0</v>
      </c>
      <c r="M321" s="17">
        <v>23096</v>
      </c>
      <c r="N321" s="17">
        <v>54149</v>
      </c>
      <c r="O321" s="17">
        <f>SUM(C321:N321)</f>
        <v>121808</v>
      </c>
      <c r="Q321" s="17">
        <f>O321-P321</f>
        <v>121808</v>
      </c>
    </row>
    <row r="322" spans="1:18" x14ac:dyDescent="0.2">
      <c r="A322" s="16" t="s">
        <v>99</v>
      </c>
      <c r="B322" s="16" t="s">
        <v>100</v>
      </c>
      <c r="C322" s="17"/>
      <c r="D322" s="17"/>
      <c r="E322" s="17"/>
      <c r="F322" s="17"/>
      <c r="G322" s="17"/>
      <c r="H322" s="17"/>
      <c r="I322" s="17"/>
      <c r="J322" s="17"/>
      <c r="K322" s="17">
        <v>0</v>
      </c>
      <c r="L322" s="17">
        <v>0</v>
      </c>
      <c r="M322" s="17">
        <v>0</v>
      </c>
      <c r="N322" s="17">
        <v>116</v>
      </c>
      <c r="O322" s="17">
        <f>SUM(C322:N322)</f>
        <v>116</v>
      </c>
      <c r="Q322" s="17">
        <f>O322-P322</f>
        <v>116</v>
      </c>
    </row>
    <row r="323" spans="1:18" x14ac:dyDescent="0.2">
      <c r="A323" s="16" t="s">
        <v>101</v>
      </c>
      <c r="B323" s="16" t="s">
        <v>102</v>
      </c>
      <c r="C323" s="17">
        <v>35</v>
      </c>
      <c r="D323" s="17">
        <v>0</v>
      </c>
      <c r="E323" s="17">
        <v>54</v>
      </c>
      <c r="F323" s="17">
        <v>0</v>
      </c>
      <c r="G323" s="17">
        <v>0</v>
      </c>
      <c r="H323" s="17"/>
      <c r="I323" s="17">
        <v>0</v>
      </c>
      <c r="J323" s="17">
        <v>15</v>
      </c>
      <c r="K323" s="17">
        <v>0</v>
      </c>
      <c r="L323" s="17">
        <v>0</v>
      </c>
      <c r="M323" s="17">
        <v>208</v>
      </c>
      <c r="N323" s="17">
        <v>5012</v>
      </c>
      <c r="O323" s="17">
        <f>SUM(C323:N323)</f>
        <v>5324</v>
      </c>
      <c r="Q323" s="17">
        <f>O323-P323</f>
        <v>5324</v>
      </c>
    </row>
    <row r="324" spans="1:18" ht="13.5" thickBot="1" x14ac:dyDescent="0.25">
      <c r="C324" s="19">
        <f t="shared" ref="C324:O324" si="143">SUM(C285:C323)</f>
        <v>25587477</v>
      </c>
      <c r="D324" s="19">
        <f t="shared" si="143"/>
        <v>28682403</v>
      </c>
      <c r="E324" s="19">
        <f t="shared" si="143"/>
        <v>37806930</v>
      </c>
      <c r="F324" s="19">
        <f t="shared" si="143"/>
        <v>30610391</v>
      </c>
      <c r="G324" s="19">
        <f t="shared" si="143"/>
        <v>26043727</v>
      </c>
      <c r="H324" s="19">
        <f t="shared" si="143"/>
        <v>27837072</v>
      </c>
      <c r="I324" s="19">
        <f t="shared" si="143"/>
        <v>21075379</v>
      </c>
      <c r="J324" s="19">
        <f t="shared" si="143"/>
        <v>27227488</v>
      </c>
      <c r="K324" s="19">
        <f t="shared" si="143"/>
        <v>38887205</v>
      </c>
      <c r="L324" s="19">
        <f t="shared" si="143"/>
        <v>27953709</v>
      </c>
      <c r="M324" s="19">
        <f t="shared" si="143"/>
        <v>29281262</v>
      </c>
      <c r="N324" s="19">
        <f t="shared" si="143"/>
        <v>33159101</v>
      </c>
      <c r="O324" s="19">
        <f t="shared" si="143"/>
        <v>354152144</v>
      </c>
      <c r="P324" s="19">
        <f t="shared" ref="P324:Q324" si="144">SUM(P285:P323)</f>
        <v>0</v>
      </c>
      <c r="Q324" s="19">
        <f t="shared" si="144"/>
        <v>354005008</v>
      </c>
      <c r="R324" s="17">
        <f>O324-Q324</f>
        <v>147136</v>
      </c>
    </row>
    <row r="325" spans="1:18" ht="13.5" thickTop="1" x14ac:dyDescent="0.2">
      <c r="B325" t="s">
        <v>173</v>
      </c>
      <c r="C325" s="17">
        <f>C324</f>
        <v>25587477</v>
      </c>
      <c r="D325" s="17">
        <f t="shared" ref="D325" si="145">C325+D324</f>
        <v>54269880</v>
      </c>
      <c r="E325" s="17">
        <f t="shared" ref="E325" si="146">D325+E324</f>
        <v>92076810</v>
      </c>
      <c r="F325" s="17">
        <f t="shared" ref="F325" si="147">E325+F324</f>
        <v>122687201</v>
      </c>
      <c r="G325" s="17">
        <f t="shared" ref="G325" si="148">F325+G324</f>
        <v>148730928</v>
      </c>
      <c r="H325" s="17">
        <f t="shared" ref="H325" si="149">G325+H324</f>
        <v>176568000</v>
      </c>
      <c r="I325" s="17">
        <f t="shared" ref="I325" si="150">H325+I324</f>
        <v>197643379</v>
      </c>
      <c r="J325" s="17">
        <f t="shared" ref="J325" si="151">I325+J324</f>
        <v>224870867</v>
      </c>
      <c r="K325" s="17">
        <f t="shared" ref="K325" si="152">J325+K324</f>
        <v>263758072</v>
      </c>
      <c r="L325" s="17">
        <f t="shared" ref="L325" si="153">K325+L324</f>
        <v>291711781</v>
      </c>
      <c r="M325" s="17">
        <f t="shared" ref="M325" si="154">L325+M324</f>
        <v>320993043</v>
      </c>
      <c r="N325" s="17">
        <f t="shared" ref="N325" si="155">M325+N324</f>
        <v>354152144</v>
      </c>
      <c r="O325" s="17"/>
    </row>
    <row r="326" spans="1:18" x14ac:dyDescent="0.2">
      <c r="B326" t="s">
        <v>104</v>
      </c>
      <c r="C326" s="17">
        <v>25590994</v>
      </c>
      <c r="D326" s="17">
        <v>54275119</v>
      </c>
      <c r="E326" s="17">
        <v>92082048</v>
      </c>
      <c r="F326" s="17">
        <v>122694538</v>
      </c>
      <c r="G326" s="17">
        <v>148741029</v>
      </c>
      <c r="H326" s="17">
        <v>176571688</v>
      </c>
      <c r="I326" s="17">
        <v>197647167</v>
      </c>
      <c r="J326" s="17">
        <f>224874654</f>
        <v>224874654</v>
      </c>
      <c r="K326" s="17">
        <f>263761857</f>
        <v>263761857</v>
      </c>
      <c r="L326" s="17">
        <v>291715567</v>
      </c>
      <c r="M326" s="17">
        <v>320993037</v>
      </c>
      <c r="N326" s="17">
        <v>354152138</v>
      </c>
      <c r="Q326" s="31"/>
    </row>
    <row r="327" spans="1:18" x14ac:dyDescent="0.2">
      <c r="B327" t="s">
        <v>105</v>
      </c>
      <c r="C327" s="17">
        <f>C326-C325</f>
        <v>3517</v>
      </c>
      <c r="D327" s="17">
        <f>D326-D325</f>
        <v>5239</v>
      </c>
      <c r="E327" s="17">
        <f>E326-E325</f>
        <v>5238</v>
      </c>
      <c r="F327" s="17">
        <f>F326-F325</f>
        <v>7337</v>
      </c>
      <c r="G327" s="17">
        <f t="shared" ref="G327:N327" si="156">G326-G325</f>
        <v>10101</v>
      </c>
      <c r="H327" s="17">
        <f t="shared" si="156"/>
        <v>3688</v>
      </c>
      <c r="I327" s="17">
        <f t="shared" si="156"/>
        <v>3788</v>
      </c>
      <c r="J327" s="17">
        <f t="shared" si="156"/>
        <v>3787</v>
      </c>
      <c r="K327" s="17">
        <f t="shared" si="156"/>
        <v>3785</v>
      </c>
      <c r="L327" s="17">
        <f t="shared" si="156"/>
        <v>3786</v>
      </c>
      <c r="M327" s="17">
        <f t="shared" si="156"/>
        <v>-6</v>
      </c>
      <c r="N327" s="17">
        <f t="shared" si="156"/>
        <v>-6</v>
      </c>
      <c r="Q327" s="31"/>
    </row>
    <row r="329" spans="1:18" x14ac:dyDescent="0.2">
      <c r="C329" s="17">
        <f>2591+926</f>
        <v>3517</v>
      </c>
      <c r="D329" s="20">
        <f>C329+1721</f>
        <v>5238</v>
      </c>
      <c r="E329" s="20">
        <f>D329</f>
        <v>5238</v>
      </c>
      <c r="F329" s="20">
        <f>E329+2100</f>
        <v>7338</v>
      </c>
      <c r="G329" s="20">
        <f>F329+3693-926</f>
        <v>10105</v>
      </c>
      <c r="H329" s="20">
        <f>G329-6412</f>
        <v>3693</v>
      </c>
      <c r="I329" s="20">
        <f>H329+100</f>
        <v>3793</v>
      </c>
      <c r="J329" s="20">
        <f>I329</f>
        <v>3793</v>
      </c>
      <c r="K329" s="20">
        <f>3693+100</f>
        <v>3793</v>
      </c>
      <c r="L329" s="20">
        <f>K329</f>
        <v>3793</v>
      </c>
    </row>
  </sheetData>
  <phoneticPr fontId="0" type="noConversion"/>
  <pageMargins left="0" right="0" top="0" bottom="0" header="0.5" footer="0.5"/>
  <pageSetup paperSize="5" scale="42" fitToHeight="2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workbookViewId="0">
      <selection activeCell="J25" sqref="J25"/>
    </sheetView>
  </sheetViews>
  <sheetFormatPr defaultRowHeight="12.75" x14ac:dyDescent="0.2"/>
  <cols>
    <col min="1" max="1" width="40.7109375" customWidth="1"/>
    <col min="2" max="2" width="10.85546875" bestFit="1" customWidth="1"/>
    <col min="3" max="3" width="12.7109375" customWidth="1"/>
    <col min="4" max="13" width="10.7109375" bestFit="1" customWidth="1"/>
  </cols>
  <sheetData>
    <row r="1" spans="1:14" x14ac:dyDescent="0.2">
      <c r="B1" s="88" t="s">
        <v>224</v>
      </c>
      <c r="C1" s="88"/>
    </row>
    <row r="3" spans="1:14" x14ac:dyDescent="0.2">
      <c r="B3" t="s">
        <v>17</v>
      </c>
      <c r="C3" t="s">
        <v>114</v>
      </c>
      <c r="D3" t="s">
        <v>119</v>
      </c>
      <c r="E3" t="s">
        <v>115</v>
      </c>
      <c r="F3" t="s">
        <v>116</v>
      </c>
      <c r="G3" t="s">
        <v>117</v>
      </c>
      <c r="H3" t="s">
        <v>118</v>
      </c>
      <c r="I3" t="s">
        <v>120</v>
      </c>
      <c r="J3" t="s">
        <v>27</v>
      </c>
      <c r="K3" t="s">
        <v>28</v>
      </c>
      <c r="L3" t="s">
        <v>18</v>
      </c>
      <c r="M3" t="s">
        <v>29</v>
      </c>
    </row>
    <row r="4" spans="1:14" x14ac:dyDescent="0.2">
      <c r="A4" t="s">
        <v>110</v>
      </c>
      <c r="B4" s="78">
        <f>ROUND((All_Accts!C123),6)</f>
        <v>8.5695999999999994E-2</v>
      </c>
      <c r="C4" s="78">
        <f>ROUND((All_Accts!D123),6)</f>
        <v>0.10306899999999999</v>
      </c>
      <c r="D4" s="78">
        <f>ROUND((All_Accts!E123),6)</f>
        <v>0.10537000000000001</v>
      </c>
      <c r="E4" s="78">
        <f>ROUND((All_Accts!F123),6)</f>
        <v>0.10623299999999999</v>
      </c>
      <c r="F4" s="78">
        <f>ROUND((All_Accts!G123),6)</f>
        <v>8.2013000000000003E-2</v>
      </c>
      <c r="G4" s="78">
        <f>ROUND((All_Accts!H123),6)</f>
        <v>8.3196000000000006E-2</v>
      </c>
      <c r="H4" s="78">
        <f>ROUND((All_Accts!I123),6)</f>
        <v>8.7340000000000001E-2</v>
      </c>
      <c r="I4" s="78">
        <f>ROUND((All_Accts!J123),6)</f>
        <v>5.0694000000000003E-2</v>
      </c>
      <c r="J4" s="78">
        <f>ROUND((All_Accts!K123),6)</f>
        <v>6.9089999999999999E-2</v>
      </c>
      <c r="K4" s="78">
        <f>ROUND((All_Accts!L123),6)</f>
        <v>6.0094000000000002E-2</v>
      </c>
      <c r="L4" s="78">
        <f>ROUND((All_Accts!M123),6)</f>
        <v>7.0529999999999995E-2</v>
      </c>
      <c r="M4" s="78">
        <f>ROUND((All_Accts!N123),6)+0.000001</f>
        <v>9.6675999999999998E-2</v>
      </c>
      <c r="N4">
        <f t="shared" ref="N4:N9" si="0">SUM(B4:M4)</f>
        <v>1.0000009999999999</v>
      </c>
    </row>
    <row r="5" spans="1:14" x14ac:dyDescent="0.2">
      <c r="A5" t="s">
        <v>138</v>
      </c>
      <c r="B5" s="78">
        <f>Labor!$BM43</f>
        <v>0</v>
      </c>
      <c r="C5" s="78">
        <f>Labor!$BM46</f>
        <v>8.9214000000000002E-2</v>
      </c>
      <c r="D5" s="78">
        <f>Labor!$BM48</f>
        <v>8.6791999999999994E-2</v>
      </c>
      <c r="E5" s="78">
        <f>Labor!$BM50</f>
        <v>9.1442999999999997E-2</v>
      </c>
      <c r="F5" s="78">
        <f>Labor!$BM52</f>
        <v>8.8215000000000002E-2</v>
      </c>
      <c r="G5" s="78">
        <f>Labor!$BM54</f>
        <v>0</v>
      </c>
      <c r="H5" s="78">
        <f>Labor!$BM57</f>
        <v>8.8585999999999998E-2</v>
      </c>
      <c r="I5" s="78">
        <f>Labor!$BM59</f>
        <v>6.2852000000000005E-2</v>
      </c>
      <c r="J5" s="78">
        <f>Labor!$BM61</f>
        <v>6.2616000000000005E-2</v>
      </c>
      <c r="K5" s="78">
        <f>Labor!$BM63</f>
        <v>5.4441000000000003E-2</v>
      </c>
      <c r="L5" s="78">
        <f>Labor!$BM65</f>
        <v>6.1180999999999999E-2</v>
      </c>
      <c r="M5" s="78">
        <f>Labor!$BM67</f>
        <v>8.6776000000000006E-2</v>
      </c>
      <c r="N5">
        <f t="shared" si="0"/>
        <v>0.77211599999999991</v>
      </c>
    </row>
    <row r="6" spans="1:14" x14ac:dyDescent="0.2">
      <c r="A6" t="s">
        <v>113</v>
      </c>
      <c r="B6" s="78">
        <f>ROUND((All_Accts!C127),6)</f>
        <v>9.1342000000000007E-2</v>
      </c>
      <c r="C6" s="78">
        <f>ROUND((All_Accts!D127),6)</f>
        <v>0.116381</v>
      </c>
      <c r="D6" s="78">
        <f>ROUND((All_Accts!E127),6)</f>
        <v>0.100867</v>
      </c>
      <c r="E6" s="78">
        <f>ROUND((All_Accts!F127),6)</f>
        <v>0.113395</v>
      </c>
      <c r="F6" s="78">
        <f>ROUND((All_Accts!G127),6)</f>
        <v>0.124821</v>
      </c>
      <c r="G6" s="78">
        <f>ROUND((All_Accts!H127),6)</f>
        <v>8.4831000000000004E-2</v>
      </c>
      <c r="H6" s="78">
        <f>ROUND((All_Accts!I127),6)</f>
        <v>7.1703000000000003E-2</v>
      </c>
      <c r="I6" s="78">
        <f>ROUND((All_Accts!J127),6)</f>
        <v>3.1217999999999999E-2</v>
      </c>
      <c r="J6" s="78">
        <f>ROUND((All_Accts!K127),6)</f>
        <v>4.1429000000000001E-2</v>
      </c>
      <c r="K6" s="78">
        <f>ROUND((All_Accts!L127),6)</f>
        <v>4.8489999999999998E-2</v>
      </c>
      <c r="L6" s="78">
        <f>ROUND((All_Accts!M127),6)</f>
        <v>4.743E-2</v>
      </c>
      <c r="M6" s="78">
        <f>ROUND((All_Accts!N127),6)</f>
        <v>0.12809400000000001</v>
      </c>
      <c r="N6">
        <f t="shared" si="0"/>
        <v>1.0000009999999999</v>
      </c>
    </row>
    <row r="7" spans="1:14" x14ac:dyDescent="0.2">
      <c r="A7" t="s">
        <v>82</v>
      </c>
      <c r="B7" s="78">
        <f>ROUND((All_Accts!C129),6)</f>
        <v>7.1773000000000003E-2</v>
      </c>
      <c r="C7" s="78">
        <f>ROUND((All_Accts!D129),6)</f>
        <v>6.4611000000000002E-2</v>
      </c>
      <c r="D7" s="78">
        <f>ROUND((All_Accts!E129),6)</f>
        <v>0.10634200000000001</v>
      </c>
      <c r="E7" s="78">
        <f>ROUND((All_Accts!F129),6)</f>
        <v>0.10931299999999999</v>
      </c>
      <c r="F7" s="78">
        <f>ROUND((All_Accts!G129),6)</f>
        <v>7.1979000000000001E-2</v>
      </c>
      <c r="G7" s="78">
        <f>ROUND((All_Accts!H129),6)</f>
        <v>8.9551000000000006E-2</v>
      </c>
      <c r="H7" s="78">
        <f>ROUND((All_Accts!I129),6)</f>
        <v>8.2371E-2</v>
      </c>
      <c r="I7" s="78">
        <f>ROUND((All_Accts!J129),6)</f>
        <v>4.7462999999999998E-2</v>
      </c>
      <c r="J7" s="78">
        <f>ROUND((All_Accts!K129),6)</f>
        <v>6.1348E-2</v>
      </c>
      <c r="K7" s="78">
        <f>ROUND((All_Accts!L129),6)</f>
        <v>6.6655000000000006E-2</v>
      </c>
      <c r="L7" s="78">
        <f>ROUND((All_Accts!M129),6)</f>
        <v>8.6527999999999994E-2</v>
      </c>
      <c r="M7" s="78">
        <f>ROUND((All_Accts!N129),6)</f>
        <v>0.142068</v>
      </c>
      <c r="N7">
        <f t="shared" si="0"/>
        <v>1.0000020000000001</v>
      </c>
    </row>
    <row r="8" spans="1:14" x14ac:dyDescent="0.2">
      <c r="A8" t="s">
        <v>84</v>
      </c>
      <c r="B8" s="78">
        <f>ROUND((All_Accts!C131),6)</f>
        <v>5.4968999999999997E-2</v>
      </c>
      <c r="C8" s="78">
        <f>ROUND((All_Accts!D131),6)</f>
        <v>6.6338999999999995E-2</v>
      </c>
      <c r="D8" s="78">
        <f>ROUND((All_Accts!E131),6)</f>
        <v>8.4015999999999993E-2</v>
      </c>
      <c r="E8" s="78">
        <f>ROUND((All_Accts!F131),6)</f>
        <v>9.5611000000000002E-2</v>
      </c>
      <c r="F8" s="78">
        <f>ROUND((All_Accts!G131),6)</f>
        <v>8.1549999999999997E-2</v>
      </c>
      <c r="G8" s="78">
        <f>ROUND((All_Accts!H131),6)</f>
        <v>8.1698000000000007E-2</v>
      </c>
      <c r="H8" s="78">
        <f>ROUND((All_Accts!I131),6)</f>
        <v>0.11039300000000001</v>
      </c>
      <c r="I8" s="78">
        <f>ROUND((All_Accts!J131),6)</f>
        <v>7.4856000000000006E-2</v>
      </c>
      <c r="J8" s="78">
        <f>ROUND((All_Accts!K131),6)</f>
        <v>7.7380000000000004E-2</v>
      </c>
      <c r="K8" s="78">
        <f>ROUND((All_Accts!L131),6)</f>
        <v>7.7813999999999994E-2</v>
      </c>
      <c r="L8" s="78">
        <f>ROUND((All_Accts!M131),6)</f>
        <v>9.1014999999999999E-2</v>
      </c>
      <c r="M8" s="78">
        <f>ROUND((All_Accts!N131),6)</f>
        <v>0.104361</v>
      </c>
      <c r="N8">
        <f t="shared" si="0"/>
        <v>1.0000020000000001</v>
      </c>
    </row>
    <row r="9" spans="1:14" x14ac:dyDescent="0.2">
      <c r="A9" t="s">
        <v>121</v>
      </c>
      <c r="B9" s="94">
        <v>0.11326</v>
      </c>
      <c r="C9" s="94">
        <v>0.11497</v>
      </c>
      <c r="D9" s="94">
        <v>0.10602</v>
      </c>
      <c r="E9" s="94">
        <v>8.8410000000000002E-2</v>
      </c>
      <c r="F9" s="78">
        <v>7.2690000000000005E-2</v>
      </c>
      <c r="G9" s="78">
        <v>5.6840000000000002E-2</v>
      </c>
      <c r="H9" s="78">
        <v>6.1310000000000003E-2</v>
      </c>
      <c r="I9" s="78">
        <v>5.2010000000000001E-2</v>
      </c>
      <c r="J9" s="78">
        <v>6.5670000000000006E-2</v>
      </c>
      <c r="K9" s="78">
        <v>7.5609999999999997E-2</v>
      </c>
      <c r="L9" s="78">
        <v>9.2410000000000006E-2</v>
      </c>
      <c r="M9" s="78">
        <v>0.10080000000000011</v>
      </c>
      <c r="N9">
        <f t="shared" si="0"/>
        <v>1</v>
      </c>
    </row>
    <row r="15" spans="1:14" x14ac:dyDescent="0.2">
      <c r="H15" s="95"/>
    </row>
    <row r="16" spans="1:14" x14ac:dyDescent="0.2">
      <c r="B16" s="22"/>
      <c r="C16" s="101" t="s">
        <v>123</v>
      </c>
      <c r="D16" s="101" t="s">
        <v>34</v>
      </c>
      <c r="E16" s="101" t="s">
        <v>125</v>
      </c>
      <c r="F16" s="101"/>
      <c r="G16" s="101"/>
      <c r="H16" s="102" t="s">
        <v>129</v>
      </c>
    </row>
    <row r="17" spans="2:8" x14ac:dyDescent="0.2">
      <c r="B17" s="22"/>
      <c r="C17" s="103" t="s">
        <v>122</v>
      </c>
      <c r="D17" s="103" t="s">
        <v>124</v>
      </c>
      <c r="E17" s="103" t="s">
        <v>126</v>
      </c>
      <c r="F17" s="103" t="s">
        <v>127</v>
      </c>
      <c r="G17" s="103" t="s">
        <v>128</v>
      </c>
      <c r="H17" s="104" t="s">
        <v>130</v>
      </c>
    </row>
    <row r="18" spans="2:8" x14ac:dyDescent="0.2">
      <c r="B18" s="22" t="s">
        <v>17</v>
      </c>
      <c r="C18" s="69">
        <f>B4</f>
        <v>8.5695999999999994E-2</v>
      </c>
      <c r="D18" s="69">
        <f>B5</f>
        <v>0</v>
      </c>
      <c r="E18" s="69">
        <f>B6</f>
        <v>9.1342000000000007E-2</v>
      </c>
      <c r="F18" s="69">
        <f>B7</f>
        <v>7.1773000000000003E-2</v>
      </c>
      <c r="G18" s="69">
        <f>B8</f>
        <v>5.4968999999999997E-2</v>
      </c>
      <c r="H18" s="90">
        <f>B9</f>
        <v>0.11326</v>
      </c>
    </row>
    <row r="19" spans="2:8" x14ac:dyDescent="0.2">
      <c r="B19" s="22" t="s">
        <v>20</v>
      </c>
      <c r="C19" s="69">
        <f>C4</f>
        <v>0.10306899999999999</v>
      </c>
      <c r="D19" s="69">
        <f>C5</f>
        <v>8.9214000000000002E-2</v>
      </c>
      <c r="E19" s="69">
        <f>C6</f>
        <v>0.116381</v>
      </c>
      <c r="F19" s="69">
        <f>C7</f>
        <v>6.4611000000000002E-2</v>
      </c>
      <c r="G19" s="69">
        <f>C8</f>
        <v>6.6338999999999995E-2</v>
      </c>
      <c r="H19" s="90">
        <f>C9</f>
        <v>0.11497</v>
      </c>
    </row>
    <row r="20" spans="2:8" x14ac:dyDescent="0.2">
      <c r="B20" s="22" t="s">
        <v>21</v>
      </c>
      <c r="C20" s="69">
        <f>D4</f>
        <v>0.10537000000000001</v>
      </c>
      <c r="D20" s="69">
        <f>D5</f>
        <v>8.6791999999999994E-2</v>
      </c>
      <c r="E20" s="69">
        <f>D6</f>
        <v>0.100867</v>
      </c>
      <c r="F20" s="69">
        <f>D7</f>
        <v>0.10634200000000001</v>
      </c>
      <c r="G20" s="69">
        <f>D8</f>
        <v>8.4015999999999993E-2</v>
      </c>
      <c r="H20" s="90">
        <f>D9</f>
        <v>0.10602</v>
      </c>
    </row>
    <row r="21" spans="2:8" x14ac:dyDescent="0.2">
      <c r="B21" s="22" t="s">
        <v>22</v>
      </c>
      <c r="C21" s="69">
        <f>E4</f>
        <v>0.10623299999999999</v>
      </c>
      <c r="D21" s="69">
        <f>E5</f>
        <v>9.1442999999999997E-2</v>
      </c>
      <c r="E21" s="69">
        <f>E6</f>
        <v>0.113395</v>
      </c>
      <c r="F21" s="69">
        <f>E7</f>
        <v>0.10931299999999999</v>
      </c>
      <c r="G21" s="69">
        <f>E8</f>
        <v>9.5611000000000002E-2</v>
      </c>
      <c r="H21" s="90">
        <f>E9</f>
        <v>8.8410000000000002E-2</v>
      </c>
    </row>
    <row r="22" spans="2:8" x14ac:dyDescent="0.2">
      <c r="B22" s="22" t="s">
        <v>23</v>
      </c>
      <c r="C22" s="69">
        <f>F4</f>
        <v>8.2013000000000003E-2</v>
      </c>
      <c r="D22" s="69">
        <f>F5</f>
        <v>8.8215000000000002E-2</v>
      </c>
      <c r="E22" s="69">
        <f>F6</f>
        <v>0.124821</v>
      </c>
      <c r="F22" s="69">
        <f>F7</f>
        <v>7.1979000000000001E-2</v>
      </c>
      <c r="G22" s="69">
        <f>F8</f>
        <v>8.1549999999999997E-2</v>
      </c>
      <c r="H22" s="90">
        <f>F9</f>
        <v>7.2690000000000005E-2</v>
      </c>
    </row>
    <row r="23" spans="2:8" x14ac:dyDescent="0.2">
      <c r="B23" s="22" t="s">
        <v>24</v>
      </c>
      <c r="C23" s="69">
        <f>G4</f>
        <v>8.3196000000000006E-2</v>
      </c>
      <c r="D23" s="69">
        <f>G5</f>
        <v>0</v>
      </c>
      <c r="E23" s="69">
        <f>G6</f>
        <v>8.4831000000000004E-2</v>
      </c>
      <c r="F23" s="69">
        <f>G7</f>
        <v>8.9551000000000006E-2</v>
      </c>
      <c r="G23" s="69">
        <f>G8</f>
        <v>8.1698000000000007E-2</v>
      </c>
      <c r="H23" s="90">
        <f>G9</f>
        <v>5.6840000000000002E-2</v>
      </c>
    </row>
    <row r="24" spans="2:8" x14ac:dyDescent="0.2">
      <c r="B24" s="22" t="s">
        <v>25</v>
      </c>
      <c r="C24" s="69">
        <f>H4</f>
        <v>8.7340000000000001E-2</v>
      </c>
      <c r="D24" s="69">
        <f>H5</f>
        <v>8.8585999999999998E-2</v>
      </c>
      <c r="E24" s="69">
        <f>H6</f>
        <v>7.1703000000000003E-2</v>
      </c>
      <c r="F24" s="69">
        <f>H7</f>
        <v>8.2371E-2</v>
      </c>
      <c r="G24" s="69">
        <f>H8</f>
        <v>0.11039300000000001</v>
      </c>
      <c r="H24" s="90">
        <f>H9</f>
        <v>6.1310000000000003E-2</v>
      </c>
    </row>
    <row r="25" spans="2:8" x14ac:dyDescent="0.2">
      <c r="B25" s="22" t="s">
        <v>26</v>
      </c>
      <c r="C25" s="69">
        <f>I4</f>
        <v>5.0694000000000003E-2</v>
      </c>
      <c r="D25" s="69">
        <f>I5</f>
        <v>6.2852000000000005E-2</v>
      </c>
      <c r="E25" s="69">
        <f>I6</f>
        <v>3.1217999999999999E-2</v>
      </c>
      <c r="F25" s="69">
        <f>I7</f>
        <v>4.7462999999999998E-2</v>
      </c>
      <c r="G25" s="69">
        <f>I8</f>
        <v>7.4856000000000006E-2</v>
      </c>
      <c r="H25" s="90">
        <f>I9</f>
        <v>5.2010000000000001E-2</v>
      </c>
    </row>
    <row r="26" spans="2:8" x14ac:dyDescent="0.2">
      <c r="B26" s="22" t="s">
        <v>27</v>
      </c>
      <c r="C26" s="69">
        <f>J4</f>
        <v>6.9089999999999999E-2</v>
      </c>
      <c r="D26" s="69">
        <f>J5</f>
        <v>6.2616000000000005E-2</v>
      </c>
      <c r="E26" s="69">
        <f>J6</f>
        <v>4.1429000000000001E-2</v>
      </c>
      <c r="F26" s="69">
        <f>J7</f>
        <v>6.1348E-2</v>
      </c>
      <c r="G26" s="69">
        <f>J8</f>
        <v>7.7380000000000004E-2</v>
      </c>
      <c r="H26" s="90">
        <f>J9</f>
        <v>6.5670000000000006E-2</v>
      </c>
    </row>
    <row r="27" spans="2:8" x14ac:dyDescent="0.2">
      <c r="B27" s="22" t="s">
        <v>28</v>
      </c>
      <c r="C27" s="69">
        <f>K4</f>
        <v>6.0094000000000002E-2</v>
      </c>
      <c r="D27" s="69">
        <f>K5</f>
        <v>5.4441000000000003E-2</v>
      </c>
      <c r="E27" s="69">
        <f>K6</f>
        <v>4.8489999999999998E-2</v>
      </c>
      <c r="F27" s="69">
        <f>K7</f>
        <v>6.6655000000000006E-2</v>
      </c>
      <c r="G27" s="69">
        <f>K8</f>
        <v>7.7813999999999994E-2</v>
      </c>
      <c r="H27" s="90">
        <f>K9</f>
        <v>7.5609999999999997E-2</v>
      </c>
    </row>
    <row r="28" spans="2:8" x14ac:dyDescent="0.2">
      <c r="B28" s="22" t="s">
        <v>18</v>
      </c>
      <c r="C28" s="69">
        <f>L4</f>
        <v>7.0529999999999995E-2</v>
      </c>
      <c r="D28" s="69">
        <f>L5</f>
        <v>6.1180999999999999E-2</v>
      </c>
      <c r="E28" s="69">
        <f>L6</f>
        <v>4.743E-2</v>
      </c>
      <c r="F28" s="69">
        <f>L7</f>
        <v>8.6527999999999994E-2</v>
      </c>
      <c r="G28" s="69">
        <f>L8</f>
        <v>9.1014999999999999E-2</v>
      </c>
      <c r="H28" s="90">
        <f>L9</f>
        <v>9.2410000000000006E-2</v>
      </c>
    </row>
    <row r="29" spans="2:8" x14ac:dyDescent="0.2">
      <c r="B29" s="22" t="s">
        <v>29</v>
      </c>
      <c r="C29" s="69">
        <f>M4</f>
        <v>9.6675999999999998E-2</v>
      </c>
      <c r="D29" s="69">
        <f>M5</f>
        <v>8.6776000000000006E-2</v>
      </c>
      <c r="E29" s="69">
        <f>M6</f>
        <v>0.12809400000000001</v>
      </c>
      <c r="F29" s="69">
        <f>M7</f>
        <v>0.142068</v>
      </c>
      <c r="G29" s="69">
        <f>M8</f>
        <v>0.104361</v>
      </c>
      <c r="H29" s="90">
        <f>M9</f>
        <v>0.10080000000000011</v>
      </c>
    </row>
    <row r="30" spans="2:8" ht="13.5" thickBot="1" x14ac:dyDescent="0.25">
      <c r="B30" s="22"/>
      <c r="C30" s="70">
        <f t="shared" ref="C30:H30" si="1">SUM(C18:C29)</f>
        <v>1.0000009999999999</v>
      </c>
      <c r="D30" s="70">
        <f t="shared" si="1"/>
        <v>0.77211599999999991</v>
      </c>
      <c r="E30" s="70">
        <f t="shared" si="1"/>
        <v>1.0000009999999999</v>
      </c>
      <c r="F30" s="70">
        <f t="shared" si="1"/>
        <v>1.0000020000000001</v>
      </c>
      <c r="G30" s="70">
        <f t="shared" si="1"/>
        <v>1.0000020000000001</v>
      </c>
      <c r="H30" s="91">
        <f t="shared" si="1"/>
        <v>1</v>
      </c>
    </row>
    <row r="31" spans="2:8" ht="13.5" thickTop="1" x14ac:dyDescent="0.2">
      <c r="H31" s="88"/>
    </row>
  </sheetData>
  <pageMargins left="0" right="0" top="1" bottom="1" header="0.5" footer="0.5"/>
  <pageSetup scale="80" orientation="landscape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workbookViewId="0">
      <selection activeCell="B4" sqref="B4"/>
    </sheetView>
  </sheetViews>
  <sheetFormatPr defaultRowHeight="12.75" x14ac:dyDescent="0.2"/>
  <cols>
    <col min="1" max="1" width="40.7109375" customWidth="1"/>
    <col min="2" max="2" width="10.85546875" bestFit="1" customWidth="1"/>
    <col min="3" max="3" width="12.7109375" customWidth="1"/>
    <col min="4" max="13" width="10.7109375" bestFit="1" customWidth="1"/>
  </cols>
  <sheetData>
    <row r="1" spans="1:14" x14ac:dyDescent="0.2">
      <c r="B1" s="88" t="s">
        <v>214</v>
      </c>
      <c r="C1" s="88"/>
    </row>
    <row r="3" spans="1:14" x14ac:dyDescent="0.2">
      <c r="B3" t="s">
        <v>17</v>
      </c>
      <c r="C3" t="s">
        <v>114</v>
      </c>
      <c r="D3" t="s">
        <v>119</v>
      </c>
      <c r="E3" t="s">
        <v>115</v>
      </c>
      <c r="F3" t="s">
        <v>116</v>
      </c>
      <c r="G3" t="s">
        <v>117</v>
      </c>
      <c r="H3" t="s">
        <v>118</v>
      </c>
      <c r="I3" t="s">
        <v>120</v>
      </c>
      <c r="J3" t="s">
        <v>27</v>
      </c>
      <c r="K3" t="s">
        <v>28</v>
      </c>
      <c r="L3" t="s">
        <v>18</v>
      </c>
      <c r="M3" t="s">
        <v>29</v>
      </c>
    </row>
    <row r="4" spans="1:14" x14ac:dyDescent="0.2">
      <c r="A4" t="s">
        <v>110</v>
      </c>
      <c r="B4" s="78">
        <v>7.7476000000000003E-2</v>
      </c>
      <c r="C4" s="78">
        <v>9.2216000000000006E-2</v>
      </c>
      <c r="D4" s="78">
        <v>8.7965000000000002E-2</v>
      </c>
      <c r="E4" s="78">
        <v>8.6458999999999994E-2</v>
      </c>
      <c r="F4" s="78">
        <v>7.6595999999999997E-2</v>
      </c>
      <c r="G4" s="78">
        <v>6.9833999999999993E-2</v>
      </c>
      <c r="H4" s="78">
        <v>7.5555999999999998E-2</v>
      </c>
      <c r="I4" s="78">
        <v>6.3827999999999996E-2</v>
      </c>
      <c r="J4" s="78">
        <v>8.6336999999999997E-2</v>
      </c>
      <c r="K4" s="78">
        <v>8.0139000000000002E-2</v>
      </c>
      <c r="L4" s="78">
        <v>9.1005000000000003E-2</v>
      </c>
      <c r="M4" s="78">
        <v>0.11258899999999999</v>
      </c>
      <c r="N4">
        <f t="shared" ref="N4:N9" si="0">SUM(B4:M4)</f>
        <v>1</v>
      </c>
    </row>
    <row r="5" spans="1:14" x14ac:dyDescent="0.2">
      <c r="A5" t="s">
        <v>138</v>
      </c>
      <c r="B5" s="78">
        <v>7.2692000000000007E-2</v>
      </c>
      <c r="C5" s="78">
        <v>0.11766500000000001</v>
      </c>
      <c r="D5" s="78">
        <v>7.7471999999999999E-2</v>
      </c>
      <c r="E5" s="78">
        <v>8.2174999999999998E-2</v>
      </c>
      <c r="F5" s="78">
        <v>7.5887999999999997E-2</v>
      </c>
      <c r="G5" s="78">
        <v>7.6742000000000005E-2</v>
      </c>
      <c r="H5" s="78">
        <v>9.7465999999999997E-2</v>
      </c>
      <c r="I5" s="78">
        <v>8.3848000000000006E-2</v>
      </c>
      <c r="J5" s="78">
        <v>8.2526000000000002E-2</v>
      </c>
      <c r="K5" s="78">
        <v>7.3897000000000004E-2</v>
      </c>
      <c r="L5" s="78">
        <v>8.1509999999999999E-2</v>
      </c>
      <c r="M5" s="78">
        <v>7.8118999999999994E-2</v>
      </c>
      <c r="N5">
        <f t="shared" si="0"/>
        <v>1</v>
      </c>
    </row>
    <row r="6" spans="1:14" x14ac:dyDescent="0.2">
      <c r="A6" t="s">
        <v>113</v>
      </c>
      <c r="B6" s="78">
        <v>7.0359000000000005E-2</v>
      </c>
      <c r="C6" s="78">
        <v>0.106184</v>
      </c>
      <c r="D6" s="78">
        <v>0.10556699999999999</v>
      </c>
      <c r="E6" s="78">
        <v>0.10111000000000001</v>
      </c>
      <c r="F6" s="78">
        <v>9.1797000000000004E-2</v>
      </c>
      <c r="G6" s="78">
        <v>7.8044000000000002E-2</v>
      </c>
      <c r="H6" s="78">
        <v>6.1978999999999999E-2</v>
      </c>
      <c r="I6" s="78">
        <v>4.8536000000000003E-2</v>
      </c>
      <c r="J6" s="78">
        <v>6.7168000000000005E-2</v>
      </c>
      <c r="K6" s="78">
        <v>6.8375000000000005E-2</v>
      </c>
      <c r="L6" s="78">
        <v>7.2366E-2</v>
      </c>
      <c r="M6" s="78">
        <v>0.12851499999999999</v>
      </c>
      <c r="N6">
        <f t="shared" si="0"/>
        <v>1</v>
      </c>
    </row>
    <row r="7" spans="1:14" x14ac:dyDescent="0.2">
      <c r="A7" t="s">
        <v>82</v>
      </c>
      <c r="B7" s="78">
        <v>7.3217000000000004E-2</v>
      </c>
      <c r="C7" s="78">
        <v>5.4528E-2</v>
      </c>
      <c r="D7" s="78">
        <v>8.5096000000000005E-2</v>
      </c>
      <c r="E7" s="78">
        <v>9.5776E-2</v>
      </c>
      <c r="F7" s="78">
        <v>6.6124000000000002E-2</v>
      </c>
      <c r="G7" s="78">
        <v>7.4167999999999998E-2</v>
      </c>
      <c r="H7" s="78">
        <v>6.1066000000000002E-2</v>
      </c>
      <c r="I7" s="78">
        <v>5.9412E-2</v>
      </c>
      <c r="J7" s="78">
        <v>7.5249999999999997E-2</v>
      </c>
      <c r="K7" s="78">
        <v>8.5762000000000005E-2</v>
      </c>
      <c r="L7" s="78">
        <v>9.3306E-2</v>
      </c>
      <c r="M7" s="78">
        <v>0.17629500000000001</v>
      </c>
      <c r="N7">
        <f t="shared" si="0"/>
        <v>1.0000000000000002</v>
      </c>
    </row>
    <row r="8" spans="1:14" x14ac:dyDescent="0.2">
      <c r="A8" t="s">
        <v>84</v>
      </c>
      <c r="B8" s="78">
        <v>5.7396999999999997E-2</v>
      </c>
      <c r="C8" s="78">
        <v>4.4701999999999999E-2</v>
      </c>
      <c r="D8" s="78">
        <v>6.1207999999999999E-2</v>
      </c>
      <c r="E8" s="78">
        <v>9.2392000000000002E-2</v>
      </c>
      <c r="F8" s="78">
        <v>6.7054000000000002E-2</v>
      </c>
      <c r="G8" s="78">
        <v>6.3918000000000003E-2</v>
      </c>
      <c r="H8" s="78">
        <v>7.5489000000000001E-2</v>
      </c>
      <c r="I8" s="78">
        <v>9.7791000000000003E-2</v>
      </c>
      <c r="J8" s="78">
        <v>9.6120999999999998E-2</v>
      </c>
      <c r="K8" s="78">
        <v>9.6817E-2</v>
      </c>
      <c r="L8" s="78">
        <v>0.106721</v>
      </c>
      <c r="M8" s="78">
        <v>0.14038999999999999</v>
      </c>
      <c r="N8">
        <f t="shared" si="0"/>
        <v>1</v>
      </c>
    </row>
    <row r="9" spans="1:14" x14ac:dyDescent="0.2">
      <c r="A9" t="s">
        <v>121</v>
      </c>
      <c r="B9" s="94">
        <v>0.11326</v>
      </c>
      <c r="C9" s="94">
        <v>0.11497</v>
      </c>
      <c r="D9" s="94">
        <v>0.10602</v>
      </c>
      <c r="E9" s="94">
        <v>8.8410000000000002E-2</v>
      </c>
      <c r="F9" s="78">
        <v>7.2690000000000005E-2</v>
      </c>
      <c r="G9" s="78">
        <v>5.6840000000000002E-2</v>
      </c>
      <c r="H9" s="78">
        <v>6.1310000000000003E-2</v>
      </c>
      <c r="I9" s="78">
        <v>5.2010000000000001E-2</v>
      </c>
      <c r="J9" s="78">
        <v>6.5670000000000006E-2</v>
      </c>
      <c r="K9" s="78">
        <v>7.5609999999999997E-2</v>
      </c>
      <c r="L9" s="78">
        <v>9.2410000000000006E-2</v>
      </c>
      <c r="M9" s="78">
        <v>0.10080000000000011</v>
      </c>
      <c r="N9">
        <f t="shared" si="0"/>
        <v>1</v>
      </c>
    </row>
    <row r="15" spans="1:14" x14ac:dyDescent="0.2">
      <c r="H15" s="95"/>
    </row>
    <row r="16" spans="1:14" x14ac:dyDescent="0.2">
      <c r="B16" s="22"/>
      <c r="C16" s="101" t="s">
        <v>123</v>
      </c>
      <c r="D16" s="101" t="s">
        <v>34</v>
      </c>
      <c r="E16" s="101" t="s">
        <v>125</v>
      </c>
      <c r="F16" s="101"/>
      <c r="G16" s="101"/>
      <c r="H16" s="102" t="s">
        <v>129</v>
      </c>
    </row>
    <row r="17" spans="2:8" x14ac:dyDescent="0.2">
      <c r="B17" s="22"/>
      <c r="C17" s="103" t="s">
        <v>122</v>
      </c>
      <c r="D17" s="103" t="s">
        <v>124</v>
      </c>
      <c r="E17" s="103" t="s">
        <v>126</v>
      </c>
      <c r="F17" s="103" t="s">
        <v>127</v>
      </c>
      <c r="G17" s="103" t="s">
        <v>128</v>
      </c>
      <c r="H17" s="104" t="s">
        <v>130</v>
      </c>
    </row>
    <row r="18" spans="2:8" x14ac:dyDescent="0.2">
      <c r="B18" s="22" t="s">
        <v>17</v>
      </c>
      <c r="C18" s="69">
        <f>B4</f>
        <v>7.7476000000000003E-2</v>
      </c>
      <c r="D18" s="69">
        <f>B5</f>
        <v>7.2692000000000007E-2</v>
      </c>
      <c r="E18" s="69">
        <f>B6</f>
        <v>7.0359000000000005E-2</v>
      </c>
      <c r="F18" s="69">
        <f>B7</f>
        <v>7.3217000000000004E-2</v>
      </c>
      <c r="G18" s="69">
        <f>B8</f>
        <v>5.7396999999999997E-2</v>
      </c>
      <c r="H18" s="90">
        <f>B9</f>
        <v>0.11326</v>
      </c>
    </row>
    <row r="19" spans="2:8" x14ac:dyDescent="0.2">
      <c r="B19" s="22" t="s">
        <v>20</v>
      </c>
      <c r="C19" s="69">
        <f>C4</f>
        <v>9.2216000000000006E-2</v>
      </c>
      <c r="D19" s="69">
        <f>C5</f>
        <v>0.11766500000000001</v>
      </c>
      <c r="E19" s="69">
        <f>C6</f>
        <v>0.106184</v>
      </c>
      <c r="F19" s="69">
        <f>C7</f>
        <v>5.4528E-2</v>
      </c>
      <c r="G19" s="69">
        <f>C8</f>
        <v>4.4701999999999999E-2</v>
      </c>
      <c r="H19" s="90">
        <f>C9</f>
        <v>0.11497</v>
      </c>
    </row>
    <row r="20" spans="2:8" x14ac:dyDescent="0.2">
      <c r="B20" s="22" t="s">
        <v>21</v>
      </c>
      <c r="C20" s="69">
        <f>D4</f>
        <v>8.7965000000000002E-2</v>
      </c>
      <c r="D20" s="69">
        <f>D5</f>
        <v>7.7471999999999999E-2</v>
      </c>
      <c r="E20" s="69">
        <f>D6</f>
        <v>0.10556699999999999</v>
      </c>
      <c r="F20" s="69">
        <f>D7</f>
        <v>8.5096000000000005E-2</v>
      </c>
      <c r="G20" s="69">
        <f>D8</f>
        <v>6.1207999999999999E-2</v>
      </c>
      <c r="H20" s="90">
        <f>D9</f>
        <v>0.10602</v>
      </c>
    </row>
    <row r="21" spans="2:8" x14ac:dyDescent="0.2">
      <c r="B21" s="22" t="s">
        <v>22</v>
      </c>
      <c r="C21" s="69">
        <f>E4</f>
        <v>8.6458999999999994E-2</v>
      </c>
      <c r="D21" s="69">
        <f>E5</f>
        <v>8.2174999999999998E-2</v>
      </c>
      <c r="E21" s="69">
        <f>E6</f>
        <v>0.10111000000000001</v>
      </c>
      <c r="F21" s="69">
        <f>E7</f>
        <v>9.5776E-2</v>
      </c>
      <c r="G21" s="69">
        <f>E8</f>
        <v>9.2392000000000002E-2</v>
      </c>
      <c r="H21" s="90">
        <f>E9</f>
        <v>8.8410000000000002E-2</v>
      </c>
    </row>
    <row r="22" spans="2:8" x14ac:dyDescent="0.2">
      <c r="B22" s="22" t="s">
        <v>23</v>
      </c>
      <c r="C22" s="69">
        <f>F4</f>
        <v>7.6595999999999997E-2</v>
      </c>
      <c r="D22" s="69">
        <f>F5</f>
        <v>7.5887999999999997E-2</v>
      </c>
      <c r="E22" s="69">
        <f>F6</f>
        <v>9.1797000000000004E-2</v>
      </c>
      <c r="F22" s="69">
        <f>F7</f>
        <v>6.6124000000000002E-2</v>
      </c>
      <c r="G22" s="69">
        <f>F8</f>
        <v>6.7054000000000002E-2</v>
      </c>
      <c r="H22" s="90">
        <f>F9</f>
        <v>7.2690000000000005E-2</v>
      </c>
    </row>
    <row r="23" spans="2:8" x14ac:dyDescent="0.2">
      <c r="B23" s="22" t="s">
        <v>24</v>
      </c>
      <c r="C23" s="69">
        <f>G4</f>
        <v>6.9833999999999993E-2</v>
      </c>
      <c r="D23" s="69">
        <f>G5</f>
        <v>7.6742000000000005E-2</v>
      </c>
      <c r="E23" s="69">
        <f>G6</f>
        <v>7.8044000000000002E-2</v>
      </c>
      <c r="F23" s="69">
        <f>G7</f>
        <v>7.4167999999999998E-2</v>
      </c>
      <c r="G23" s="69">
        <f>G8</f>
        <v>6.3918000000000003E-2</v>
      </c>
      <c r="H23" s="90">
        <f>G9</f>
        <v>5.6840000000000002E-2</v>
      </c>
    </row>
    <row r="24" spans="2:8" x14ac:dyDescent="0.2">
      <c r="B24" s="22" t="s">
        <v>25</v>
      </c>
      <c r="C24" s="69">
        <f>H4</f>
        <v>7.5555999999999998E-2</v>
      </c>
      <c r="D24" s="69">
        <f>H5</f>
        <v>9.7465999999999997E-2</v>
      </c>
      <c r="E24" s="69">
        <f>H6</f>
        <v>6.1978999999999999E-2</v>
      </c>
      <c r="F24" s="69">
        <f>H7</f>
        <v>6.1066000000000002E-2</v>
      </c>
      <c r="G24" s="69">
        <f>H8</f>
        <v>7.5489000000000001E-2</v>
      </c>
      <c r="H24" s="90">
        <f>H9</f>
        <v>6.1310000000000003E-2</v>
      </c>
    </row>
    <row r="25" spans="2:8" x14ac:dyDescent="0.2">
      <c r="B25" s="22" t="s">
        <v>26</v>
      </c>
      <c r="C25" s="69">
        <f>I4</f>
        <v>6.3827999999999996E-2</v>
      </c>
      <c r="D25" s="69">
        <f>I5</f>
        <v>8.3848000000000006E-2</v>
      </c>
      <c r="E25" s="69">
        <f>I6</f>
        <v>4.8536000000000003E-2</v>
      </c>
      <c r="F25" s="69">
        <f>I7</f>
        <v>5.9412E-2</v>
      </c>
      <c r="G25" s="69">
        <f>I8</f>
        <v>9.7791000000000003E-2</v>
      </c>
      <c r="H25" s="90">
        <f>I9</f>
        <v>5.2010000000000001E-2</v>
      </c>
    </row>
    <row r="26" spans="2:8" x14ac:dyDescent="0.2">
      <c r="B26" s="22" t="s">
        <v>27</v>
      </c>
      <c r="C26" s="69">
        <f>J4</f>
        <v>8.6336999999999997E-2</v>
      </c>
      <c r="D26" s="69">
        <f>J5</f>
        <v>8.2526000000000002E-2</v>
      </c>
      <c r="E26" s="69">
        <f>J6</f>
        <v>6.7168000000000005E-2</v>
      </c>
      <c r="F26" s="69">
        <f>J7</f>
        <v>7.5249999999999997E-2</v>
      </c>
      <c r="G26" s="69">
        <f>J8</f>
        <v>9.6120999999999998E-2</v>
      </c>
      <c r="H26" s="90">
        <f>J9</f>
        <v>6.5670000000000006E-2</v>
      </c>
    </row>
    <row r="27" spans="2:8" x14ac:dyDescent="0.2">
      <c r="B27" s="22" t="s">
        <v>28</v>
      </c>
      <c r="C27" s="69">
        <f>K4</f>
        <v>8.0139000000000002E-2</v>
      </c>
      <c r="D27" s="69">
        <f>K5</f>
        <v>7.3897000000000004E-2</v>
      </c>
      <c r="E27" s="69">
        <f>K6</f>
        <v>6.8375000000000005E-2</v>
      </c>
      <c r="F27" s="69">
        <f>K7</f>
        <v>8.5762000000000005E-2</v>
      </c>
      <c r="G27" s="69">
        <f>K8</f>
        <v>9.6817E-2</v>
      </c>
      <c r="H27" s="90">
        <f>K9</f>
        <v>7.5609999999999997E-2</v>
      </c>
    </row>
    <row r="28" spans="2:8" x14ac:dyDescent="0.2">
      <c r="B28" s="22" t="s">
        <v>18</v>
      </c>
      <c r="C28" s="69">
        <f>L4</f>
        <v>9.1005000000000003E-2</v>
      </c>
      <c r="D28" s="69">
        <f>L5</f>
        <v>8.1509999999999999E-2</v>
      </c>
      <c r="E28" s="69">
        <f>L6</f>
        <v>7.2366E-2</v>
      </c>
      <c r="F28" s="69">
        <f>L7</f>
        <v>9.3306E-2</v>
      </c>
      <c r="G28" s="69">
        <f>L8</f>
        <v>0.106721</v>
      </c>
      <c r="H28" s="90">
        <f>L9</f>
        <v>9.2410000000000006E-2</v>
      </c>
    </row>
    <row r="29" spans="2:8" x14ac:dyDescent="0.2">
      <c r="B29" s="22" t="s">
        <v>29</v>
      </c>
      <c r="C29" s="69">
        <f>M4</f>
        <v>0.11258899999999999</v>
      </c>
      <c r="D29" s="69">
        <f>M5</f>
        <v>7.8118999999999994E-2</v>
      </c>
      <c r="E29" s="69">
        <f>M6</f>
        <v>0.12851499999999999</v>
      </c>
      <c r="F29" s="69">
        <f>M7</f>
        <v>0.17629500000000001</v>
      </c>
      <c r="G29" s="69">
        <f>M8</f>
        <v>0.14038999999999999</v>
      </c>
      <c r="H29" s="90">
        <f>M9</f>
        <v>0.10080000000000011</v>
      </c>
    </row>
    <row r="30" spans="2:8" ht="13.5" thickBot="1" x14ac:dyDescent="0.25">
      <c r="B30" s="22"/>
      <c r="C30" s="70">
        <f t="shared" ref="C30:H30" si="1">SUM(C18:C29)</f>
        <v>1</v>
      </c>
      <c r="D30" s="70">
        <f t="shared" si="1"/>
        <v>1</v>
      </c>
      <c r="E30" s="70">
        <f t="shared" si="1"/>
        <v>1</v>
      </c>
      <c r="F30" s="70">
        <f t="shared" si="1"/>
        <v>1.0000000000000002</v>
      </c>
      <c r="G30" s="70">
        <f t="shared" si="1"/>
        <v>1</v>
      </c>
      <c r="H30" s="91">
        <f t="shared" si="1"/>
        <v>1</v>
      </c>
    </row>
    <row r="31" spans="2:8" ht="13.5" thickTop="1" x14ac:dyDescent="0.2">
      <c r="H31" s="88"/>
    </row>
  </sheetData>
  <pageMargins left="0" right="0" top="1" bottom="1" header="0.5" footer="0.5"/>
  <pageSetup scale="8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Misc Budget Files</Section>
    <ParentListItemID xmlns="647b500e-2e54-493e-9891-abb9c0422344" xsi:nil="true"/>
  </documentManagement>
</p:properties>
</file>

<file path=customXml/itemProps1.xml><?xml version="1.0" encoding="utf-8"?>
<ds:datastoreItem xmlns:ds="http://schemas.openxmlformats.org/officeDocument/2006/customXml" ds:itemID="{E4EA5ECC-8DC1-4DCC-BA00-A2A696BCD69B}"/>
</file>

<file path=customXml/itemProps2.xml><?xml version="1.0" encoding="utf-8"?>
<ds:datastoreItem xmlns:ds="http://schemas.openxmlformats.org/officeDocument/2006/customXml" ds:itemID="{6062C9B9-8136-40FE-AB1B-CA9F4284B1FA}"/>
</file>

<file path=customXml/itemProps3.xml><?xml version="1.0" encoding="utf-8"?>
<ds:datastoreItem xmlns:ds="http://schemas.openxmlformats.org/officeDocument/2006/customXml" ds:itemID="{1110D13C-EB4C-4232-AB3C-0E28EA7E9E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Labor</vt:lpstr>
      <vt:lpstr>Comparison_Yr</vt:lpstr>
      <vt:lpstr>OpEq</vt:lpstr>
      <vt:lpstr>Lbor</vt:lpstr>
      <vt:lpstr>Summary</vt:lpstr>
      <vt:lpstr>GDR_Accts</vt:lpstr>
      <vt:lpstr>All_Accts</vt:lpstr>
      <vt:lpstr>16_17</vt:lpstr>
      <vt:lpstr>15_16</vt:lpstr>
      <vt:lpstr>14_15</vt:lpstr>
      <vt:lpstr>13_14</vt:lpstr>
      <vt:lpstr>12_13</vt:lpstr>
      <vt:lpstr>11_12</vt:lpstr>
      <vt:lpstr>10_11</vt:lpstr>
      <vt:lpstr>09_10</vt:lpstr>
      <vt:lpstr>08_09</vt:lpstr>
      <vt:lpstr>Compare</vt:lpstr>
      <vt:lpstr>Labor!Print_Area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BudgetFactors2017</dc:title>
  <dc:creator>David Buening</dc:creator>
  <cp:lastModifiedBy>Buening,David E</cp:lastModifiedBy>
  <cp:lastPrinted>2015-06-01T17:44:25Z</cp:lastPrinted>
  <dcterms:created xsi:type="dcterms:W3CDTF">2001-05-14T22:46:32Z</dcterms:created>
  <dcterms:modified xsi:type="dcterms:W3CDTF">2016-03-08T17:31:19Z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