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17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worksheets/sheet14.xml" ContentType="application/vnd.openxmlformats-officedocument.spreadsheetml.worksheet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worksheets/sheet9.xml" ContentType="application/vnd.openxmlformats-officedocument.spreadsheetml.worksheet+xml"/>
  <Override PartName="/xl/worksheets/sheet15.xml" ContentType="application/vnd.openxmlformats-officedocument.spreadsheetml.worksheet+xml"/>
  <Override PartName="/xl/worksheets/sheet13.xml" ContentType="application/vnd.openxmlformats-officedocument.spreadsheetml.worksheet+xml"/>
  <Override PartName="/xl/worksheets/sheet12.xml" ContentType="application/vnd.openxmlformats-officedocument.spreadsheetml.worksheet+xml"/>
  <Override PartName="/xl/worksheets/sheet11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7665" yWindow="225" windowWidth="7650" windowHeight="8745" activeTab="1"/>
  </bookViews>
  <sheets>
    <sheet name="HYD  CST" sheetId="1" r:id="rId1"/>
    <sheet name="HYD  ENG" sheetId="2" r:id="rId2"/>
    <sheet name="Kwh Running FYTD " sheetId="17" r:id="rId3"/>
    <sheet name="$ Running FYTD " sheetId="4" r:id="rId4"/>
    <sheet name="FY Gen &amp; Rev." sheetId="3" r:id="rId5"/>
    <sheet name="Sheet5" sheetId="5" r:id="rId6"/>
    <sheet name="Sheet6" sheetId="6" r:id="rId7"/>
    <sheet name="Sheet7" sheetId="7" r:id="rId8"/>
    <sheet name="Sheet8" sheetId="8" r:id="rId9"/>
    <sheet name="Sheet9" sheetId="9" r:id="rId10"/>
    <sheet name="Sheet10" sheetId="10" r:id="rId11"/>
    <sheet name="Sheet11" sheetId="11" r:id="rId12"/>
    <sheet name="Sheet12" sheetId="12" r:id="rId13"/>
    <sheet name="Sheet13" sheetId="13" r:id="rId14"/>
    <sheet name="Sheet14" sheetId="14" r:id="rId15"/>
    <sheet name="Sheet15" sheetId="15" r:id="rId16"/>
    <sheet name="Sheet16" sheetId="16" r:id="rId17"/>
  </sheets>
  <definedNames>
    <definedName name="_xlnm.Print_Area" localSheetId="4">'FY Gen &amp; Rev.'!$A$3:$L$20</definedName>
    <definedName name="_xlnm.Print_Area" localSheetId="0">'HYD  CST'!$A$1120:$W$1167</definedName>
    <definedName name="_xlnm.Print_Area" localSheetId="1">'HYD  ENG'!$A$1264:$W$1311</definedName>
  </definedNames>
  <calcPr calcId="145621"/>
</workbook>
</file>

<file path=xl/calcChain.xml><?xml version="1.0" encoding="utf-8"?>
<calcChain xmlns="http://schemas.openxmlformats.org/spreadsheetml/2006/main">
  <c r="Z1275" i="2" l="1"/>
  <c r="Z1195" i="1" l="1"/>
  <c r="Z1293" i="2"/>
  <c r="N1259" i="2" l="1"/>
  <c r="O1259" i="2"/>
  <c r="M1259" i="2"/>
  <c r="P1259" i="2" s="1"/>
  <c r="Z1177" i="1" l="1"/>
  <c r="Q1210" i="1"/>
  <c r="W1210" i="1" s="1"/>
  <c r="G1210" i="1"/>
  <c r="Q1207" i="1"/>
  <c r="W1207" i="1" s="1"/>
  <c r="G1207" i="1"/>
  <c r="Q1204" i="1"/>
  <c r="W1204" i="1" s="1"/>
  <c r="Z1204" i="1" s="1"/>
  <c r="G1204" i="1"/>
  <c r="Q1201" i="1"/>
  <c r="W1201" i="1" s="1"/>
  <c r="Z1201" i="1" s="1"/>
  <c r="G1201" i="1"/>
  <c r="Q1198" i="1"/>
  <c r="G1198" i="1"/>
  <c r="Q1195" i="1"/>
  <c r="W1195" i="1" s="1"/>
  <c r="G1195" i="1"/>
  <c r="Q1192" i="1"/>
  <c r="G1192" i="1"/>
  <c r="W1192" i="1" s="1"/>
  <c r="Z1192" i="1" s="1"/>
  <c r="Q1189" i="1"/>
  <c r="G1189" i="1"/>
  <c r="Q1186" i="1"/>
  <c r="W1186" i="1" s="1"/>
  <c r="Z1186" i="1" s="1"/>
  <c r="G1186" i="1"/>
  <c r="Q1183" i="1"/>
  <c r="G1183" i="1"/>
  <c r="R1305" i="2"/>
  <c r="G1305" i="2"/>
  <c r="R1302" i="2"/>
  <c r="G1302" i="2"/>
  <c r="R1299" i="2"/>
  <c r="G1299" i="2"/>
  <c r="R1296" i="2"/>
  <c r="W1296" i="2" s="1"/>
  <c r="Z1296" i="2" s="1"/>
  <c r="G1296" i="2"/>
  <c r="R1293" i="2"/>
  <c r="G1293" i="2"/>
  <c r="W1293" i="2" s="1"/>
  <c r="R1290" i="2"/>
  <c r="G1290" i="2"/>
  <c r="R1287" i="2"/>
  <c r="G1287" i="2"/>
  <c r="R1284" i="2"/>
  <c r="G1284" i="2"/>
  <c r="R1281" i="2"/>
  <c r="G1281" i="2"/>
  <c r="R1278" i="2"/>
  <c r="G1278" i="2"/>
  <c r="Q1310" i="2"/>
  <c r="P1310" i="2"/>
  <c r="O1310" i="2"/>
  <c r="N1310" i="2"/>
  <c r="M1310" i="2"/>
  <c r="L1310" i="2"/>
  <c r="K1310" i="2"/>
  <c r="J1310" i="2"/>
  <c r="I1310" i="2"/>
  <c r="W1305" i="2"/>
  <c r="W1302" i="2"/>
  <c r="T1276" i="2"/>
  <c r="T1279" i="2" s="1"/>
  <c r="T1282" i="2" s="1"/>
  <c r="T1285" i="2" s="1"/>
  <c r="T1288" i="2" s="1"/>
  <c r="T1291" i="2" s="1"/>
  <c r="T1294" i="2" s="1"/>
  <c r="T1297" i="2" s="1"/>
  <c r="T1300" i="2" s="1"/>
  <c r="T1303" i="2" s="1"/>
  <c r="T1306" i="2" s="1"/>
  <c r="Q1276" i="2"/>
  <c r="Q1279" i="2" s="1"/>
  <c r="Q1282" i="2" s="1"/>
  <c r="Q1285" i="2" s="1"/>
  <c r="Q1288" i="2" s="1"/>
  <c r="Q1291" i="2" s="1"/>
  <c r="Q1294" i="2" s="1"/>
  <c r="Q1297" i="2" s="1"/>
  <c r="Q1300" i="2" s="1"/>
  <c r="Q1303" i="2" s="1"/>
  <c r="Q1306" i="2" s="1"/>
  <c r="L1276" i="2"/>
  <c r="L1279" i="2" s="1"/>
  <c r="L1282" i="2" s="1"/>
  <c r="L1285" i="2" s="1"/>
  <c r="L1288" i="2" s="1"/>
  <c r="L1291" i="2" s="1"/>
  <c r="L1294" i="2" s="1"/>
  <c r="L1297" i="2" s="1"/>
  <c r="L1300" i="2" s="1"/>
  <c r="L1303" i="2" s="1"/>
  <c r="L1306" i="2" s="1"/>
  <c r="I1276" i="2"/>
  <c r="I1279" i="2" s="1"/>
  <c r="I1282" i="2" s="1"/>
  <c r="I1285" i="2" s="1"/>
  <c r="I1288" i="2" s="1"/>
  <c r="I1291" i="2" s="1"/>
  <c r="I1294" i="2" s="1"/>
  <c r="I1297" i="2" s="1"/>
  <c r="I1300" i="2" s="1"/>
  <c r="I1303" i="2" s="1"/>
  <c r="I1306" i="2" s="1"/>
  <c r="C1276" i="2"/>
  <c r="C1279" i="2" s="1"/>
  <c r="C1282" i="2" s="1"/>
  <c r="C1285" i="2" s="1"/>
  <c r="C1288" i="2" s="1"/>
  <c r="C1291" i="2" s="1"/>
  <c r="C1294" i="2" s="1"/>
  <c r="C1297" i="2" s="1"/>
  <c r="C1300" i="2" s="1"/>
  <c r="C1303" i="2" s="1"/>
  <c r="C1306" i="2" s="1"/>
  <c r="R1275" i="2"/>
  <c r="W1275" i="2" s="1"/>
  <c r="G1275" i="2"/>
  <c r="V1273" i="2"/>
  <c r="V1276" i="2" s="1"/>
  <c r="V1279" i="2" s="1"/>
  <c r="V1282" i="2" s="1"/>
  <c r="V1285" i="2" s="1"/>
  <c r="V1288" i="2" s="1"/>
  <c r="V1291" i="2" s="1"/>
  <c r="V1294" i="2" s="1"/>
  <c r="V1297" i="2" s="1"/>
  <c r="V1300" i="2" s="1"/>
  <c r="V1303" i="2" s="1"/>
  <c r="V1306" i="2" s="1"/>
  <c r="U1273" i="2"/>
  <c r="U1276" i="2" s="1"/>
  <c r="U1279" i="2" s="1"/>
  <c r="U1282" i="2" s="1"/>
  <c r="U1285" i="2" s="1"/>
  <c r="U1288" i="2" s="1"/>
  <c r="U1291" i="2" s="1"/>
  <c r="U1294" i="2" s="1"/>
  <c r="U1297" i="2" s="1"/>
  <c r="U1300" i="2" s="1"/>
  <c r="U1303" i="2" s="1"/>
  <c r="U1306" i="2" s="1"/>
  <c r="T1273" i="2"/>
  <c r="S1273" i="2"/>
  <c r="S1276" i="2" s="1"/>
  <c r="S1279" i="2" s="1"/>
  <c r="S1282" i="2" s="1"/>
  <c r="S1285" i="2" s="1"/>
  <c r="S1288" i="2" s="1"/>
  <c r="S1291" i="2" s="1"/>
  <c r="S1294" i="2" s="1"/>
  <c r="S1297" i="2" s="1"/>
  <c r="S1300" i="2" s="1"/>
  <c r="S1303" i="2" s="1"/>
  <c r="S1306" i="2" s="1"/>
  <c r="Q1273" i="2"/>
  <c r="P1273" i="2"/>
  <c r="P1276" i="2" s="1"/>
  <c r="P1279" i="2" s="1"/>
  <c r="P1282" i="2" s="1"/>
  <c r="P1285" i="2" s="1"/>
  <c r="P1288" i="2" s="1"/>
  <c r="P1291" i="2" s="1"/>
  <c r="P1294" i="2" s="1"/>
  <c r="P1297" i="2" s="1"/>
  <c r="P1300" i="2" s="1"/>
  <c r="P1303" i="2" s="1"/>
  <c r="P1306" i="2" s="1"/>
  <c r="O1273" i="2"/>
  <c r="O1276" i="2" s="1"/>
  <c r="O1279" i="2" s="1"/>
  <c r="O1282" i="2" s="1"/>
  <c r="O1285" i="2" s="1"/>
  <c r="O1288" i="2" s="1"/>
  <c r="O1291" i="2" s="1"/>
  <c r="O1294" i="2" s="1"/>
  <c r="O1297" i="2" s="1"/>
  <c r="O1300" i="2" s="1"/>
  <c r="O1303" i="2" s="1"/>
  <c r="O1306" i="2" s="1"/>
  <c r="N1273" i="2"/>
  <c r="N1276" i="2" s="1"/>
  <c r="N1279" i="2" s="1"/>
  <c r="N1282" i="2" s="1"/>
  <c r="N1285" i="2" s="1"/>
  <c r="N1288" i="2" s="1"/>
  <c r="N1291" i="2" s="1"/>
  <c r="N1294" i="2" s="1"/>
  <c r="N1297" i="2" s="1"/>
  <c r="N1300" i="2" s="1"/>
  <c r="N1303" i="2" s="1"/>
  <c r="N1306" i="2" s="1"/>
  <c r="M1273" i="2"/>
  <c r="M1276" i="2" s="1"/>
  <c r="M1279" i="2" s="1"/>
  <c r="M1282" i="2" s="1"/>
  <c r="M1285" i="2" s="1"/>
  <c r="M1288" i="2" s="1"/>
  <c r="M1291" i="2" s="1"/>
  <c r="M1294" i="2" s="1"/>
  <c r="M1297" i="2" s="1"/>
  <c r="M1300" i="2" s="1"/>
  <c r="M1303" i="2" s="1"/>
  <c r="M1306" i="2" s="1"/>
  <c r="L1273" i="2"/>
  <c r="K1273" i="2"/>
  <c r="K1276" i="2" s="1"/>
  <c r="K1279" i="2" s="1"/>
  <c r="K1282" i="2" s="1"/>
  <c r="K1285" i="2" s="1"/>
  <c r="K1288" i="2" s="1"/>
  <c r="K1291" i="2" s="1"/>
  <c r="K1294" i="2" s="1"/>
  <c r="K1297" i="2" s="1"/>
  <c r="K1300" i="2" s="1"/>
  <c r="K1303" i="2" s="1"/>
  <c r="K1306" i="2" s="1"/>
  <c r="J1273" i="2"/>
  <c r="J1276" i="2" s="1"/>
  <c r="J1279" i="2" s="1"/>
  <c r="J1282" i="2" s="1"/>
  <c r="J1285" i="2" s="1"/>
  <c r="J1288" i="2" s="1"/>
  <c r="J1291" i="2" s="1"/>
  <c r="J1294" i="2" s="1"/>
  <c r="J1297" i="2" s="1"/>
  <c r="J1300" i="2" s="1"/>
  <c r="J1303" i="2" s="1"/>
  <c r="J1306" i="2" s="1"/>
  <c r="I1273" i="2"/>
  <c r="F1273" i="2"/>
  <c r="F1276" i="2" s="1"/>
  <c r="F1279" i="2" s="1"/>
  <c r="F1282" i="2" s="1"/>
  <c r="F1285" i="2" s="1"/>
  <c r="F1288" i="2" s="1"/>
  <c r="F1291" i="2" s="1"/>
  <c r="F1294" i="2" s="1"/>
  <c r="F1297" i="2" s="1"/>
  <c r="F1300" i="2" s="1"/>
  <c r="F1303" i="2" s="1"/>
  <c r="F1306" i="2" s="1"/>
  <c r="E1273" i="2"/>
  <c r="E1276" i="2" s="1"/>
  <c r="E1279" i="2" s="1"/>
  <c r="E1282" i="2" s="1"/>
  <c r="E1285" i="2" s="1"/>
  <c r="E1288" i="2" s="1"/>
  <c r="E1291" i="2" s="1"/>
  <c r="E1294" i="2" s="1"/>
  <c r="E1297" i="2" s="1"/>
  <c r="E1300" i="2" s="1"/>
  <c r="E1303" i="2" s="1"/>
  <c r="E1306" i="2" s="1"/>
  <c r="D1273" i="2"/>
  <c r="D1276" i="2" s="1"/>
  <c r="D1279" i="2" s="1"/>
  <c r="D1282" i="2" s="1"/>
  <c r="D1285" i="2" s="1"/>
  <c r="D1288" i="2" s="1"/>
  <c r="D1291" i="2" s="1"/>
  <c r="D1294" i="2" s="1"/>
  <c r="D1297" i="2" s="1"/>
  <c r="D1300" i="2" s="1"/>
  <c r="D1303" i="2" s="1"/>
  <c r="D1306" i="2" s="1"/>
  <c r="C1273" i="2"/>
  <c r="B1273" i="2"/>
  <c r="B1276" i="2" s="1"/>
  <c r="B1279" i="2" s="1"/>
  <c r="B1282" i="2" s="1"/>
  <c r="B1285" i="2" s="1"/>
  <c r="B1288" i="2" s="1"/>
  <c r="B1291" i="2" s="1"/>
  <c r="B1294" i="2" s="1"/>
  <c r="B1297" i="2" s="1"/>
  <c r="B1300" i="2" s="1"/>
  <c r="B1303" i="2" s="1"/>
  <c r="B1306" i="2" s="1"/>
  <c r="R1272" i="2"/>
  <c r="R1273" i="2" s="1"/>
  <c r="G1272" i="2"/>
  <c r="G1273" i="2" s="1"/>
  <c r="P1215" i="1"/>
  <c r="O1215" i="1"/>
  <c r="N1215" i="1"/>
  <c r="M1215" i="1"/>
  <c r="L1215" i="1"/>
  <c r="K1215" i="1"/>
  <c r="J1215" i="1"/>
  <c r="I1215" i="1"/>
  <c r="H1215" i="1"/>
  <c r="U1187" i="1"/>
  <c r="U1190" i="1" s="1"/>
  <c r="U1193" i="1" s="1"/>
  <c r="U1196" i="1" s="1"/>
  <c r="U1199" i="1" s="1"/>
  <c r="U1202" i="1" s="1"/>
  <c r="U1205" i="1" s="1"/>
  <c r="U1208" i="1" s="1"/>
  <c r="U1211" i="1" s="1"/>
  <c r="L1187" i="1"/>
  <c r="L1190" i="1" s="1"/>
  <c r="L1193" i="1" s="1"/>
  <c r="L1196" i="1" s="1"/>
  <c r="L1199" i="1" s="1"/>
  <c r="L1202" i="1" s="1"/>
  <c r="L1205" i="1" s="1"/>
  <c r="L1208" i="1" s="1"/>
  <c r="L1211" i="1" s="1"/>
  <c r="U1184" i="1"/>
  <c r="F1184" i="1"/>
  <c r="F1187" i="1" s="1"/>
  <c r="F1190" i="1" s="1"/>
  <c r="F1193" i="1" s="1"/>
  <c r="F1196" i="1" s="1"/>
  <c r="F1199" i="1" s="1"/>
  <c r="F1202" i="1" s="1"/>
  <c r="F1205" i="1" s="1"/>
  <c r="F1208" i="1" s="1"/>
  <c r="F1211" i="1" s="1"/>
  <c r="U1181" i="1"/>
  <c r="T1181" i="1"/>
  <c r="T1184" i="1" s="1"/>
  <c r="T1187" i="1" s="1"/>
  <c r="T1190" i="1" s="1"/>
  <c r="T1193" i="1" s="1"/>
  <c r="T1196" i="1" s="1"/>
  <c r="T1199" i="1" s="1"/>
  <c r="T1202" i="1" s="1"/>
  <c r="T1205" i="1" s="1"/>
  <c r="T1208" i="1" s="1"/>
  <c r="T1211" i="1" s="1"/>
  <c r="L1181" i="1"/>
  <c r="L1184" i="1" s="1"/>
  <c r="I1181" i="1"/>
  <c r="I1184" i="1" s="1"/>
  <c r="I1187" i="1" s="1"/>
  <c r="I1190" i="1" s="1"/>
  <c r="I1193" i="1" s="1"/>
  <c r="I1196" i="1" s="1"/>
  <c r="I1199" i="1" s="1"/>
  <c r="I1202" i="1" s="1"/>
  <c r="I1205" i="1" s="1"/>
  <c r="I1208" i="1" s="1"/>
  <c r="I1211" i="1" s="1"/>
  <c r="H1181" i="1"/>
  <c r="H1184" i="1" s="1"/>
  <c r="H1187" i="1" s="1"/>
  <c r="H1190" i="1" s="1"/>
  <c r="H1193" i="1" s="1"/>
  <c r="H1196" i="1" s="1"/>
  <c r="H1199" i="1" s="1"/>
  <c r="H1202" i="1" s="1"/>
  <c r="H1205" i="1" s="1"/>
  <c r="H1208" i="1" s="1"/>
  <c r="H1211" i="1" s="1"/>
  <c r="D1181" i="1"/>
  <c r="D1184" i="1" s="1"/>
  <c r="D1187" i="1" s="1"/>
  <c r="D1190" i="1" s="1"/>
  <c r="D1193" i="1" s="1"/>
  <c r="D1196" i="1" s="1"/>
  <c r="D1199" i="1" s="1"/>
  <c r="D1202" i="1" s="1"/>
  <c r="D1205" i="1" s="1"/>
  <c r="D1208" i="1" s="1"/>
  <c r="D1211" i="1" s="1"/>
  <c r="Q1180" i="1"/>
  <c r="G1180" i="1"/>
  <c r="V1178" i="1"/>
  <c r="V1181" i="1" s="1"/>
  <c r="V1184" i="1" s="1"/>
  <c r="V1187" i="1" s="1"/>
  <c r="V1190" i="1" s="1"/>
  <c r="V1193" i="1" s="1"/>
  <c r="V1196" i="1" s="1"/>
  <c r="V1199" i="1" s="1"/>
  <c r="V1202" i="1" s="1"/>
  <c r="V1205" i="1" s="1"/>
  <c r="V1208" i="1" s="1"/>
  <c r="V1211" i="1" s="1"/>
  <c r="U1178" i="1"/>
  <c r="T1178" i="1"/>
  <c r="S1178" i="1"/>
  <c r="S1181" i="1" s="1"/>
  <c r="S1184" i="1" s="1"/>
  <c r="S1187" i="1" s="1"/>
  <c r="S1190" i="1" s="1"/>
  <c r="S1193" i="1" s="1"/>
  <c r="S1196" i="1" s="1"/>
  <c r="S1199" i="1" s="1"/>
  <c r="S1202" i="1" s="1"/>
  <c r="S1205" i="1" s="1"/>
  <c r="S1208" i="1" s="1"/>
  <c r="S1211" i="1" s="1"/>
  <c r="R1178" i="1"/>
  <c r="R1181" i="1" s="1"/>
  <c r="R1184" i="1" s="1"/>
  <c r="R1187" i="1" s="1"/>
  <c r="R1190" i="1" s="1"/>
  <c r="R1193" i="1" s="1"/>
  <c r="R1196" i="1" s="1"/>
  <c r="R1199" i="1" s="1"/>
  <c r="R1202" i="1" s="1"/>
  <c r="R1205" i="1" s="1"/>
  <c r="R1208" i="1" s="1"/>
  <c r="R1211" i="1" s="1"/>
  <c r="P1178" i="1"/>
  <c r="P1181" i="1" s="1"/>
  <c r="P1184" i="1" s="1"/>
  <c r="P1187" i="1" s="1"/>
  <c r="P1190" i="1" s="1"/>
  <c r="P1193" i="1" s="1"/>
  <c r="P1196" i="1" s="1"/>
  <c r="P1199" i="1" s="1"/>
  <c r="P1202" i="1" s="1"/>
  <c r="P1205" i="1" s="1"/>
  <c r="P1208" i="1" s="1"/>
  <c r="P1211" i="1" s="1"/>
  <c r="O1178" i="1"/>
  <c r="O1181" i="1" s="1"/>
  <c r="O1184" i="1" s="1"/>
  <c r="O1187" i="1" s="1"/>
  <c r="O1190" i="1" s="1"/>
  <c r="O1193" i="1" s="1"/>
  <c r="O1196" i="1" s="1"/>
  <c r="O1199" i="1" s="1"/>
  <c r="O1202" i="1" s="1"/>
  <c r="O1205" i="1" s="1"/>
  <c r="O1208" i="1" s="1"/>
  <c r="O1211" i="1" s="1"/>
  <c r="N1178" i="1"/>
  <c r="N1181" i="1" s="1"/>
  <c r="N1184" i="1" s="1"/>
  <c r="N1187" i="1" s="1"/>
  <c r="N1190" i="1" s="1"/>
  <c r="N1193" i="1" s="1"/>
  <c r="N1196" i="1" s="1"/>
  <c r="N1199" i="1" s="1"/>
  <c r="N1202" i="1" s="1"/>
  <c r="N1205" i="1" s="1"/>
  <c r="N1208" i="1" s="1"/>
  <c r="N1211" i="1" s="1"/>
  <c r="M1178" i="1"/>
  <c r="M1181" i="1" s="1"/>
  <c r="M1184" i="1" s="1"/>
  <c r="M1187" i="1" s="1"/>
  <c r="M1190" i="1" s="1"/>
  <c r="M1193" i="1" s="1"/>
  <c r="M1196" i="1" s="1"/>
  <c r="M1199" i="1" s="1"/>
  <c r="M1202" i="1" s="1"/>
  <c r="M1205" i="1" s="1"/>
  <c r="M1208" i="1" s="1"/>
  <c r="M1211" i="1" s="1"/>
  <c r="L1178" i="1"/>
  <c r="K1178" i="1"/>
  <c r="K1181" i="1" s="1"/>
  <c r="K1184" i="1" s="1"/>
  <c r="K1187" i="1" s="1"/>
  <c r="K1190" i="1" s="1"/>
  <c r="K1193" i="1" s="1"/>
  <c r="K1196" i="1" s="1"/>
  <c r="K1199" i="1" s="1"/>
  <c r="K1202" i="1" s="1"/>
  <c r="K1205" i="1" s="1"/>
  <c r="K1208" i="1" s="1"/>
  <c r="K1211" i="1" s="1"/>
  <c r="J1178" i="1"/>
  <c r="J1181" i="1" s="1"/>
  <c r="J1184" i="1" s="1"/>
  <c r="J1187" i="1" s="1"/>
  <c r="J1190" i="1" s="1"/>
  <c r="J1193" i="1" s="1"/>
  <c r="J1196" i="1" s="1"/>
  <c r="J1199" i="1" s="1"/>
  <c r="J1202" i="1" s="1"/>
  <c r="J1205" i="1" s="1"/>
  <c r="J1208" i="1" s="1"/>
  <c r="J1211" i="1" s="1"/>
  <c r="I1178" i="1"/>
  <c r="H1178" i="1"/>
  <c r="F1178" i="1"/>
  <c r="F1181" i="1" s="1"/>
  <c r="E1178" i="1"/>
  <c r="E1181" i="1" s="1"/>
  <c r="E1184" i="1" s="1"/>
  <c r="E1187" i="1" s="1"/>
  <c r="E1190" i="1" s="1"/>
  <c r="E1193" i="1" s="1"/>
  <c r="E1196" i="1" s="1"/>
  <c r="E1199" i="1" s="1"/>
  <c r="E1202" i="1" s="1"/>
  <c r="E1205" i="1" s="1"/>
  <c r="E1208" i="1" s="1"/>
  <c r="E1211" i="1" s="1"/>
  <c r="D1178" i="1"/>
  <c r="C1178" i="1"/>
  <c r="C1181" i="1" s="1"/>
  <c r="C1184" i="1" s="1"/>
  <c r="C1187" i="1" s="1"/>
  <c r="C1190" i="1" s="1"/>
  <c r="C1193" i="1" s="1"/>
  <c r="C1196" i="1" s="1"/>
  <c r="C1199" i="1" s="1"/>
  <c r="C1202" i="1" s="1"/>
  <c r="C1205" i="1" s="1"/>
  <c r="C1208" i="1" s="1"/>
  <c r="C1211" i="1" s="1"/>
  <c r="B1178" i="1"/>
  <c r="B1181" i="1" s="1"/>
  <c r="B1184" i="1" s="1"/>
  <c r="B1187" i="1" s="1"/>
  <c r="B1190" i="1" s="1"/>
  <c r="B1193" i="1" s="1"/>
  <c r="B1196" i="1" s="1"/>
  <c r="B1199" i="1" s="1"/>
  <c r="B1202" i="1" s="1"/>
  <c r="B1205" i="1" s="1"/>
  <c r="B1208" i="1" s="1"/>
  <c r="B1211" i="1" s="1"/>
  <c r="Q1177" i="1"/>
  <c r="Q1178" i="1" s="1"/>
  <c r="G1177" i="1"/>
  <c r="G1178" i="1" s="1"/>
  <c r="W1299" i="2" l="1"/>
  <c r="Z1299" i="2" s="1"/>
  <c r="W1198" i="1"/>
  <c r="Z1198" i="1" s="1"/>
  <c r="W1290" i="2"/>
  <c r="Z1290" i="2" s="1"/>
  <c r="W1287" i="2"/>
  <c r="Z1287" i="2" s="1"/>
  <c r="W1189" i="1"/>
  <c r="Z1189" i="1" s="1"/>
  <c r="W1284" i="2"/>
  <c r="Z1284" i="2" s="1"/>
  <c r="W1281" i="2"/>
  <c r="Z1281" i="2" s="1"/>
  <c r="W1278" i="2"/>
  <c r="Z1278" i="2" s="1"/>
  <c r="W1272" i="2"/>
  <c r="Q1181" i="1"/>
  <c r="Q1184" i="1" s="1"/>
  <c r="Q1187" i="1" s="1"/>
  <c r="Q1190" i="1" s="1"/>
  <c r="Q1193" i="1" s="1"/>
  <c r="Q1196" i="1" s="1"/>
  <c r="Q1199" i="1" s="1"/>
  <c r="Q1202" i="1" s="1"/>
  <c r="Q1205" i="1" s="1"/>
  <c r="Q1208" i="1" s="1"/>
  <c r="Q1211" i="1" s="1"/>
  <c r="W1177" i="1"/>
  <c r="X1178" i="1" s="1"/>
  <c r="W1180" i="1"/>
  <c r="Z1180" i="1" s="1"/>
  <c r="G1181" i="1"/>
  <c r="G1184" i="1" s="1"/>
  <c r="G1187" i="1" s="1"/>
  <c r="G1190" i="1" s="1"/>
  <c r="G1193" i="1" s="1"/>
  <c r="G1196" i="1" s="1"/>
  <c r="G1199" i="1" s="1"/>
  <c r="G1202" i="1" s="1"/>
  <c r="G1205" i="1" s="1"/>
  <c r="G1208" i="1" s="1"/>
  <c r="G1211" i="1" s="1"/>
  <c r="R1276" i="2"/>
  <c r="R1279" i="2" s="1"/>
  <c r="R1282" i="2" s="1"/>
  <c r="R1285" i="2" s="1"/>
  <c r="R1288" i="2" s="1"/>
  <c r="R1291" i="2" s="1"/>
  <c r="R1294" i="2" s="1"/>
  <c r="R1297" i="2" s="1"/>
  <c r="R1300" i="2" s="1"/>
  <c r="R1303" i="2" s="1"/>
  <c r="R1306" i="2" s="1"/>
  <c r="G1276" i="2"/>
  <c r="G1279" i="2" s="1"/>
  <c r="G1282" i="2" s="1"/>
  <c r="G1285" i="2" s="1"/>
  <c r="G1288" i="2" s="1"/>
  <c r="G1291" i="2" s="1"/>
  <c r="G1294" i="2" s="1"/>
  <c r="G1297" i="2" s="1"/>
  <c r="G1300" i="2" s="1"/>
  <c r="G1303" i="2" s="1"/>
  <c r="G1306" i="2" s="1"/>
  <c r="W1273" i="2"/>
  <c r="M1214" i="1"/>
  <c r="W1183" i="1"/>
  <c r="Z1183" i="1" s="1"/>
  <c r="L1214" i="1"/>
  <c r="R1256" i="2"/>
  <c r="G1256" i="2"/>
  <c r="X1273" i="2" l="1"/>
  <c r="X1276" i="2" s="1"/>
  <c r="X1279" i="2" s="1"/>
  <c r="X1282" i="2" s="1"/>
  <c r="X1285" i="2" s="1"/>
  <c r="X1288" i="2" s="1"/>
  <c r="X1291" i="2" s="1"/>
  <c r="X1294" i="2" s="1"/>
  <c r="X1297" i="2" s="1"/>
  <c r="X1300" i="2" s="1"/>
  <c r="X1303" i="2" s="1"/>
  <c r="X1306" i="2" s="1"/>
  <c r="Z1272" i="2"/>
  <c r="W1178" i="1"/>
  <c r="W1181" i="1" s="1"/>
  <c r="W1184" i="1" s="1"/>
  <c r="W1187" i="1" s="1"/>
  <c r="W1190" i="1" s="1"/>
  <c r="W1193" i="1" s="1"/>
  <c r="W1196" i="1" s="1"/>
  <c r="W1199" i="1" s="1"/>
  <c r="W1202" i="1" s="1"/>
  <c r="W1205" i="1" s="1"/>
  <c r="W1208" i="1" s="1"/>
  <c r="W1211" i="1" s="1"/>
  <c r="X1181" i="1"/>
  <c r="X1184" i="1" s="1"/>
  <c r="X1187" i="1" s="1"/>
  <c r="X1190" i="1" s="1"/>
  <c r="X1193" i="1" s="1"/>
  <c r="X1196" i="1" s="1"/>
  <c r="X1199" i="1" s="1"/>
  <c r="X1202" i="1" s="1"/>
  <c r="X1205" i="1" s="1"/>
  <c r="X1208" i="1" s="1"/>
  <c r="X1211" i="1" s="1"/>
  <c r="W1276" i="2"/>
  <c r="W1279" i="2" s="1"/>
  <c r="W1282" i="2" s="1"/>
  <c r="W1285" i="2" s="1"/>
  <c r="W1288" i="2" s="1"/>
  <c r="W1291" i="2" s="1"/>
  <c r="W1294" i="2" s="1"/>
  <c r="W1297" i="2" s="1"/>
  <c r="W1300" i="2" s="1"/>
  <c r="W1303" i="2" s="1"/>
  <c r="W1306" i="2" s="1"/>
  <c r="Z1244" i="2"/>
  <c r="Z1150" i="1"/>
  <c r="Z1153" i="1"/>
  <c r="Z1144" i="1" l="1"/>
  <c r="Z1138" i="1" l="1"/>
  <c r="Z1132" i="1" l="1"/>
  <c r="Z1226" i="2" l="1"/>
  <c r="R1253" i="2" l="1"/>
  <c r="G1253" i="2"/>
  <c r="R1250" i="2"/>
  <c r="G1250" i="2"/>
  <c r="R1247" i="2"/>
  <c r="G1247" i="2"/>
  <c r="R1244" i="2"/>
  <c r="G1244" i="2"/>
  <c r="R1241" i="2"/>
  <c r="G1241" i="2"/>
  <c r="R1238" i="2"/>
  <c r="G1238" i="2"/>
  <c r="W1238" i="2" s="1"/>
  <c r="Z1238" i="2" s="1"/>
  <c r="R1235" i="2"/>
  <c r="W1235" i="2" s="1"/>
  <c r="Z1235" i="2" s="1"/>
  <c r="G1235" i="2"/>
  <c r="R1232" i="2"/>
  <c r="G1232" i="2"/>
  <c r="R1229" i="2"/>
  <c r="G1229" i="2"/>
  <c r="M1210" i="2"/>
  <c r="N1210" i="2"/>
  <c r="O1210" i="2"/>
  <c r="P1210" i="2"/>
  <c r="I1212" i="2"/>
  <c r="J1212" i="2"/>
  <c r="K1212" i="2"/>
  <c r="L1212" i="2"/>
  <c r="M1212" i="2"/>
  <c r="N1212" i="2"/>
  <c r="O1212" i="2"/>
  <c r="P1212" i="2"/>
  <c r="Q1212" i="2"/>
  <c r="G1223" i="2"/>
  <c r="R1223" i="2"/>
  <c r="U1224" i="2"/>
  <c r="B1224" i="2"/>
  <c r="C1224" i="2"/>
  <c r="D1224" i="2"/>
  <c r="D1227" i="2" s="1"/>
  <c r="D1230" i="2" s="1"/>
  <c r="D1233" i="2" s="1"/>
  <c r="D1236" i="2" s="1"/>
  <c r="D1239" i="2" s="1"/>
  <c r="D1242" i="2" s="1"/>
  <c r="D1245" i="2" s="1"/>
  <c r="D1248" i="2" s="1"/>
  <c r="D1251" i="2" s="1"/>
  <c r="D1254" i="2" s="1"/>
  <c r="D1257" i="2" s="1"/>
  <c r="E1224" i="2"/>
  <c r="E1227" i="2" s="1"/>
  <c r="E1230" i="2" s="1"/>
  <c r="E1233" i="2" s="1"/>
  <c r="E1236" i="2" s="1"/>
  <c r="E1239" i="2" s="1"/>
  <c r="E1242" i="2" s="1"/>
  <c r="E1245" i="2" s="1"/>
  <c r="E1248" i="2" s="1"/>
  <c r="E1251" i="2" s="1"/>
  <c r="E1254" i="2" s="1"/>
  <c r="E1257" i="2" s="1"/>
  <c r="F1224" i="2"/>
  <c r="G1224" i="2"/>
  <c r="I1224" i="2"/>
  <c r="I1227" i="2" s="1"/>
  <c r="I1230" i="2" s="1"/>
  <c r="I1233" i="2" s="1"/>
  <c r="I1236" i="2" s="1"/>
  <c r="I1239" i="2" s="1"/>
  <c r="I1242" i="2" s="1"/>
  <c r="I1245" i="2" s="1"/>
  <c r="I1248" i="2" s="1"/>
  <c r="I1251" i="2" s="1"/>
  <c r="I1254" i="2" s="1"/>
  <c r="I1257" i="2" s="1"/>
  <c r="J1224" i="2"/>
  <c r="J1227" i="2" s="1"/>
  <c r="J1230" i="2" s="1"/>
  <c r="J1233" i="2" s="1"/>
  <c r="J1236" i="2" s="1"/>
  <c r="J1239" i="2" s="1"/>
  <c r="J1242" i="2" s="1"/>
  <c r="J1245" i="2" s="1"/>
  <c r="J1248" i="2" s="1"/>
  <c r="J1251" i="2" s="1"/>
  <c r="J1254" i="2" s="1"/>
  <c r="J1257" i="2" s="1"/>
  <c r="K1224" i="2"/>
  <c r="K1227" i="2" s="1"/>
  <c r="K1230" i="2" s="1"/>
  <c r="K1233" i="2" s="1"/>
  <c r="K1236" i="2" s="1"/>
  <c r="K1239" i="2" s="1"/>
  <c r="K1242" i="2" s="1"/>
  <c r="K1245" i="2" s="1"/>
  <c r="K1248" i="2" s="1"/>
  <c r="K1251" i="2" s="1"/>
  <c r="K1254" i="2" s="1"/>
  <c r="K1257" i="2" s="1"/>
  <c r="L1224" i="2"/>
  <c r="L1227" i="2" s="1"/>
  <c r="L1230" i="2" s="1"/>
  <c r="L1233" i="2" s="1"/>
  <c r="L1236" i="2" s="1"/>
  <c r="L1239" i="2" s="1"/>
  <c r="L1242" i="2" s="1"/>
  <c r="L1245" i="2" s="1"/>
  <c r="L1248" i="2" s="1"/>
  <c r="L1251" i="2" s="1"/>
  <c r="L1254" i="2" s="1"/>
  <c r="L1257" i="2" s="1"/>
  <c r="M1224" i="2"/>
  <c r="M1227" i="2" s="1"/>
  <c r="M1230" i="2" s="1"/>
  <c r="M1233" i="2" s="1"/>
  <c r="M1236" i="2" s="1"/>
  <c r="M1239" i="2" s="1"/>
  <c r="M1242" i="2" s="1"/>
  <c r="M1245" i="2" s="1"/>
  <c r="M1248" i="2" s="1"/>
  <c r="M1251" i="2" s="1"/>
  <c r="M1254" i="2" s="1"/>
  <c r="M1257" i="2" s="1"/>
  <c r="N1224" i="2"/>
  <c r="N1227" i="2" s="1"/>
  <c r="N1230" i="2" s="1"/>
  <c r="N1233" i="2" s="1"/>
  <c r="N1236" i="2" s="1"/>
  <c r="N1239" i="2" s="1"/>
  <c r="N1242" i="2" s="1"/>
  <c r="N1245" i="2" s="1"/>
  <c r="N1248" i="2" s="1"/>
  <c r="N1251" i="2" s="1"/>
  <c r="N1254" i="2" s="1"/>
  <c r="N1257" i="2" s="1"/>
  <c r="O1224" i="2"/>
  <c r="P1224" i="2"/>
  <c r="P1227" i="2" s="1"/>
  <c r="P1230" i="2" s="1"/>
  <c r="P1233" i="2" s="1"/>
  <c r="P1236" i="2" s="1"/>
  <c r="P1239" i="2" s="1"/>
  <c r="P1242" i="2" s="1"/>
  <c r="P1245" i="2" s="1"/>
  <c r="P1248" i="2" s="1"/>
  <c r="P1251" i="2" s="1"/>
  <c r="P1254" i="2" s="1"/>
  <c r="P1257" i="2" s="1"/>
  <c r="Q1224" i="2"/>
  <c r="Q1227" i="2" s="1"/>
  <c r="Q1230" i="2" s="1"/>
  <c r="Q1233" i="2" s="1"/>
  <c r="Q1236" i="2" s="1"/>
  <c r="Q1239" i="2" s="1"/>
  <c r="Q1242" i="2" s="1"/>
  <c r="Q1245" i="2" s="1"/>
  <c r="Q1248" i="2" s="1"/>
  <c r="Q1251" i="2" s="1"/>
  <c r="Q1254" i="2" s="1"/>
  <c r="Q1257" i="2" s="1"/>
  <c r="S1224" i="2"/>
  <c r="S1227" i="2" s="1"/>
  <c r="S1230" i="2" s="1"/>
  <c r="S1233" i="2" s="1"/>
  <c r="S1236" i="2" s="1"/>
  <c r="S1239" i="2" s="1"/>
  <c r="S1242" i="2" s="1"/>
  <c r="S1245" i="2" s="1"/>
  <c r="S1248" i="2" s="1"/>
  <c r="S1251" i="2" s="1"/>
  <c r="S1254" i="2" s="1"/>
  <c r="S1257" i="2" s="1"/>
  <c r="T1224" i="2"/>
  <c r="V1224" i="2"/>
  <c r="V1227" i="2" s="1"/>
  <c r="V1230" i="2" s="1"/>
  <c r="V1233" i="2" s="1"/>
  <c r="V1236" i="2" s="1"/>
  <c r="V1239" i="2" s="1"/>
  <c r="V1242" i="2" s="1"/>
  <c r="V1245" i="2" s="1"/>
  <c r="V1248" i="2" s="1"/>
  <c r="V1251" i="2" s="1"/>
  <c r="V1254" i="2" s="1"/>
  <c r="V1257" i="2" s="1"/>
  <c r="G1226" i="2"/>
  <c r="R1226" i="2"/>
  <c r="W1226" i="2" s="1"/>
  <c r="B1227" i="2"/>
  <c r="B1230" i="2" s="1"/>
  <c r="B1233" i="2" s="1"/>
  <c r="B1236" i="2" s="1"/>
  <c r="B1239" i="2" s="1"/>
  <c r="B1242" i="2" s="1"/>
  <c r="B1245" i="2" s="1"/>
  <c r="B1248" i="2" s="1"/>
  <c r="B1251" i="2" s="1"/>
  <c r="B1254" i="2" s="1"/>
  <c r="B1257" i="2" s="1"/>
  <c r="C1227" i="2"/>
  <c r="C1230" i="2" s="1"/>
  <c r="C1233" i="2" s="1"/>
  <c r="C1236" i="2" s="1"/>
  <c r="C1239" i="2" s="1"/>
  <c r="C1242" i="2" s="1"/>
  <c r="C1245" i="2" s="1"/>
  <c r="C1248" i="2" s="1"/>
  <c r="C1251" i="2" s="1"/>
  <c r="C1254" i="2" s="1"/>
  <c r="C1257" i="2" s="1"/>
  <c r="F1227" i="2"/>
  <c r="F1230" i="2" s="1"/>
  <c r="F1233" i="2" s="1"/>
  <c r="F1236" i="2" s="1"/>
  <c r="F1239" i="2" s="1"/>
  <c r="F1242" i="2" s="1"/>
  <c r="F1245" i="2" s="1"/>
  <c r="F1248" i="2" s="1"/>
  <c r="F1251" i="2" s="1"/>
  <c r="F1254" i="2" s="1"/>
  <c r="F1257" i="2" s="1"/>
  <c r="O1227" i="2"/>
  <c r="O1230" i="2" s="1"/>
  <c r="O1233" i="2" s="1"/>
  <c r="O1236" i="2" s="1"/>
  <c r="O1239" i="2" s="1"/>
  <c r="O1242" i="2" s="1"/>
  <c r="O1245" i="2" s="1"/>
  <c r="O1248" i="2" s="1"/>
  <c r="O1251" i="2" s="1"/>
  <c r="O1254" i="2" s="1"/>
  <c r="O1257" i="2" s="1"/>
  <c r="T1227" i="2"/>
  <c r="T1230" i="2" s="1"/>
  <c r="T1233" i="2" s="1"/>
  <c r="T1236" i="2" s="1"/>
  <c r="T1239" i="2" s="1"/>
  <c r="T1242" i="2" s="1"/>
  <c r="T1245" i="2" s="1"/>
  <c r="T1248" i="2" s="1"/>
  <c r="T1251" i="2" s="1"/>
  <c r="T1254" i="2" s="1"/>
  <c r="T1257" i="2" s="1"/>
  <c r="W1232" i="2"/>
  <c r="Z1232" i="2" s="1"/>
  <c r="W1256" i="2"/>
  <c r="Z1256" i="2" s="1"/>
  <c r="I1261" i="2"/>
  <c r="J1261" i="2"/>
  <c r="K1261" i="2"/>
  <c r="L1261" i="2"/>
  <c r="M1261" i="2"/>
  <c r="N1261" i="2"/>
  <c r="O1261" i="2"/>
  <c r="P1261" i="2"/>
  <c r="Q1261" i="2"/>
  <c r="P1167" i="1"/>
  <c r="O1167" i="1"/>
  <c r="N1167" i="1"/>
  <c r="M1167" i="1"/>
  <c r="L1167" i="1"/>
  <c r="K1167" i="1"/>
  <c r="J1167" i="1"/>
  <c r="I1167" i="1"/>
  <c r="H1167" i="1"/>
  <c r="Q1162" i="1"/>
  <c r="W1162" i="1" s="1"/>
  <c r="Z1162" i="1" s="1"/>
  <c r="G1162" i="1"/>
  <c r="Q1159" i="1"/>
  <c r="G1159" i="1"/>
  <c r="Q1156" i="1"/>
  <c r="G1156" i="1"/>
  <c r="Q1153" i="1"/>
  <c r="W1153" i="1" s="1"/>
  <c r="G1153" i="1"/>
  <c r="Q1150" i="1"/>
  <c r="G1150" i="1"/>
  <c r="Q1147" i="1"/>
  <c r="G1147" i="1"/>
  <c r="Q1144" i="1"/>
  <c r="G1144" i="1"/>
  <c r="Q1141" i="1"/>
  <c r="G1141" i="1"/>
  <c r="Q1138" i="1"/>
  <c r="G1138" i="1"/>
  <c r="Q1135" i="1"/>
  <c r="G1135" i="1"/>
  <c r="W1144" i="1"/>
  <c r="I1136" i="1"/>
  <c r="I1139" i="1" s="1"/>
  <c r="I1142" i="1" s="1"/>
  <c r="I1145" i="1" s="1"/>
  <c r="I1148" i="1" s="1"/>
  <c r="I1151" i="1" s="1"/>
  <c r="I1154" i="1" s="1"/>
  <c r="I1157" i="1" s="1"/>
  <c r="I1160" i="1" s="1"/>
  <c r="I1163" i="1" s="1"/>
  <c r="T1133" i="1"/>
  <c r="T1136" i="1" s="1"/>
  <c r="T1139" i="1" s="1"/>
  <c r="T1142" i="1" s="1"/>
  <c r="T1145" i="1" s="1"/>
  <c r="T1148" i="1" s="1"/>
  <c r="T1151" i="1" s="1"/>
  <c r="T1154" i="1" s="1"/>
  <c r="T1157" i="1" s="1"/>
  <c r="T1160" i="1" s="1"/>
  <c r="T1163" i="1" s="1"/>
  <c r="P1133" i="1"/>
  <c r="P1136" i="1" s="1"/>
  <c r="P1139" i="1" s="1"/>
  <c r="P1142" i="1" s="1"/>
  <c r="P1145" i="1" s="1"/>
  <c r="P1148" i="1" s="1"/>
  <c r="P1151" i="1" s="1"/>
  <c r="P1154" i="1" s="1"/>
  <c r="P1157" i="1" s="1"/>
  <c r="P1160" i="1" s="1"/>
  <c r="P1163" i="1" s="1"/>
  <c r="L1133" i="1"/>
  <c r="L1136" i="1" s="1"/>
  <c r="L1139" i="1" s="1"/>
  <c r="L1142" i="1" s="1"/>
  <c r="L1145" i="1" s="1"/>
  <c r="L1148" i="1" s="1"/>
  <c r="L1151" i="1" s="1"/>
  <c r="L1154" i="1" s="1"/>
  <c r="L1157" i="1" s="1"/>
  <c r="L1160" i="1" s="1"/>
  <c r="L1163" i="1" s="1"/>
  <c r="I1133" i="1"/>
  <c r="H1133" i="1"/>
  <c r="H1136" i="1" s="1"/>
  <c r="H1139" i="1" s="1"/>
  <c r="H1142" i="1" s="1"/>
  <c r="H1145" i="1" s="1"/>
  <c r="H1148" i="1" s="1"/>
  <c r="H1151" i="1" s="1"/>
  <c r="H1154" i="1" s="1"/>
  <c r="H1157" i="1" s="1"/>
  <c r="H1160" i="1" s="1"/>
  <c r="H1163" i="1" s="1"/>
  <c r="D1133" i="1"/>
  <c r="D1136" i="1" s="1"/>
  <c r="D1139" i="1" s="1"/>
  <c r="D1142" i="1" s="1"/>
  <c r="D1145" i="1" s="1"/>
  <c r="D1148" i="1" s="1"/>
  <c r="D1151" i="1" s="1"/>
  <c r="D1154" i="1" s="1"/>
  <c r="D1157" i="1" s="1"/>
  <c r="D1160" i="1" s="1"/>
  <c r="D1163" i="1" s="1"/>
  <c r="C1133" i="1"/>
  <c r="C1136" i="1" s="1"/>
  <c r="C1139" i="1" s="1"/>
  <c r="C1142" i="1" s="1"/>
  <c r="C1145" i="1" s="1"/>
  <c r="C1148" i="1" s="1"/>
  <c r="C1151" i="1" s="1"/>
  <c r="C1154" i="1" s="1"/>
  <c r="C1157" i="1" s="1"/>
  <c r="C1160" i="1" s="1"/>
  <c r="C1163" i="1" s="1"/>
  <c r="Q1132" i="1"/>
  <c r="G1132" i="1"/>
  <c r="V1130" i="1"/>
  <c r="V1133" i="1" s="1"/>
  <c r="V1136" i="1" s="1"/>
  <c r="V1139" i="1" s="1"/>
  <c r="V1142" i="1" s="1"/>
  <c r="V1145" i="1" s="1"/>
  <c r="V1148" i="1" s="1"/>
  <c r="V1151" i="1" s="1"/>
  <c r="V1154" i="1" s="1"/>
  <c r="V1157" i="1" s="1"/>
  <c r="V1160" i="1" s="1"/>
  <c r="V1163" i="1" s="1"/>
  <c r="U1130" i="1"/>
  <c r="U1133" i="1" s="1"/>
  <c r="U1136" i="1" s="1"/>
  <c r="U1139" i="1" s="1"/>
  <c r="U1142" i="1" s="1"/>
  <c r="U1145" i="1" s="1"/>
  <c r="U1148" i="1" s="1"/>
  <c r="U1151" i="1" s="1"/>
  <c r="U1154" i="1" s="1"/>
  <c r="U1157" i="1" s="1"/>
  <c r="U1160" i="1" s="1"/>
  <c r="U1163" i="1" s="1"/>
  <c r="T1130" i="1"/>
  <c r="S1130" i="1"/>
  <c r="S1133" i="1" s="1"/>
  <c r="S1136" i="1" s="1"/>
  <c r="S1139" i="1" s="1"/>
  <c r="S1142" i="1" s="1"/>
  <c r="S1145" i="1" s="1"/>
  <c r="S1148" i="1" s="1"/>
  <c r="S1151" i="1" s="1"/>
  <c r="S1154" i="1" s="1"/>
  <c r="S1157" i="1" s="1"/>
  <c r="S1160" i="1" s="1"/>
  <c r="S1163" i="1" s="1"/>
  <c r="R1130" i="1"/>
  <c r="R1133" i="1" s="1"/>
  <c r="R1136" i="1" s="1"/>
  <c r="R1139" i="1" s="1"/>
  <c r="R1142" i="1" s="1"/>
  <c r="R1145" i="1" s="1"/>
  <c r="R1148" i="1" s="1"/>
  <c r="R1151" i="1" s="1"/>
  <c r="R1154" i="1" s="1"/>
  <c r="R1157" i="1" s="1"/>
  <c r="R1160" i="1" s="1"/>
  <c r="R1163" i="1" s="1"/>
  <c r="P1130" i="1"/>
  <c r="O1130" i="1"/>
  <c r="O1133" i="1" s="1"/>
  <c r="O1136" i="1" s="1"/>
  <c r="O1139" i="1" s="1"/>
  <c r="O1142" i="1" s="1"/>
  <c r="O1145" i="1" s="1"/>
  <c r="O1148" i="1" s="1"/>
  <c r="O1151" i="1" s="1"/>
  <c r="O1154" i="1" s="1"/>
  <c r="O1157" i="1" s="1"/>
  <c r="O1160" i="1" s="1"/>
  <c r="O1163" i="1" s="1"/>
  <c r="N1130" i="1"/>
  <c r="N1133" i="1" s="1"/>
  <c r="N1136" i="1" s="1"/>
  <c r="N1139" i="1" s="1"/>
  <c r="N1142" i="1" s="1"/>
  <c r="N1145" i="1" s="1"/>
  <c r="N1148" i="1" s="1"/>
  <c r="N1151" i="1" s="1"/>
  <c r="N1154" i="1" s="1"/>
  <c r="N1157" i="1" s="1"/>
  <c r="N1160" i="1" s="1"/>
  <c r="N1163" i="1" s="1"/>
  <c r="M1130" i="1"/>
  <c r="M1133" i="1" s="1"/>
  <c r="M1136" i="1" s="1"/>
  <c r="M1139" i="1" s="1"/>
  <c r="M1142" i="1" s="1"/>
  <c r="M1145" i="1" s="1"/>
  <c r="M1148" i="1" s="1"/>
  <c r="M1151" i="1" s="1"/>
  <c r="M1154" i="1" s="1"/>
  <c r="M1157" i="1" s="1"/>
  <c r="M1160" i="1" s="1"/>
  <c r="M1163" i="1" s="1"/>
  <c r="L1130" i="1"/>
  <c r="K1130" i="1"/>
  <c r="K1133" i="1" s="1"/>
  <c r="K1136" i="1" s="1"/>
  <c r="K1139" i="1" s="1"/>
  <c r="K1142" i="1" s="1"/>
  <c r="K1145" i="1" s="1"/>
  <c r="K1148" i="1" s="1"/>
  <c r="K1151" i="1" s="1"/>
  <c r="K1154" i="1" s="1"/>
  <c r="K1157" i="1" s="1"/>
  <c r="K1160" i="1" s="1"/>
  <c r="K1163" i="1" s="1"/>
  <c r="J1130" i="1"/>
  <c r="J1133" i="1" s="1"/>
  <c r="J1136" i="1" s="1"/>
  <c r="J1139" i="1" s="1"/>
  <c r="J1142" i="1" s="1"/>
  <c r="J1145" i="1" s="1"/>
  <c r="J1148" i="1" s="1"/>
  <c r="J1151" i="1" s="1"/>
  <c r="J1154" i="1" s="1"/>
  <c r="J1157" i="1" s="1"/>
  <c r="J1160" i="1" s="1"/>
  <c r="J1163" i="1" s="1"/>
  <c r="I1130" i="1"/>
  <c r="H1130" i="1"/>
  <c r="F1130" i="1"/>
  <c r="F1133" i="1" s="1"/>
  <c r="F1136" i="1" s="1"/>
  <c r="F1139" i="1" s="1"/>
  <c r="F1142" i="1" s="1"/>
  <c r="F1145" i="1" s="1"/>
  <c r="F1148" i="1" s="1"/>
  <c r="F1151" i="1" s="1"/>
  <c r="F1154" i="1" s="1"/>
  <c r="F1157" i="1" s="1"/>
  <c r="F1160" i="1" s="1"/>
  <c r="F1163" i="1" s="1"/>
  <c r="E1130" i="1"/>
  <c r="E1133" i="1" s="1"/>
  <c r="E1136" i="1" s="1"/>
  <c r="E1139" i="1" s="1"/>
  <c r="E1142" i="1" s="1"/>
  <c r="E1145" i="1" s="1"/>
  <c r="E1148" i="1" s="1"/>
  <c r="E1151" i="1" s="1"/>
  <c r="E1154" i="1" s="1"/>
  <c r="E1157" i="1" s="1"/>
  <c r="E1160" i="1" s="1"/>
  <c r="E1163" i="1" s="1"/>
  <c r="D1130" i="1"/>
  <c r="C1130" i="1"/>
  <c r="B1130" i="1"/>
  <c r="B1133" i="1" s="1"/>
  <c r="B1136" i="1" s="1"/>
  <c r="B1139" i="1" s="1"/>
  <c r="B1142" i="1" s="1"/>
  <c r="B1145" i="1" s="1"/>
  <c r="B1148" i="1" s="1"/>
  <c r="B1151" i="1" s="1"/>
  <c r="B1154" i="1" s="1"/>
  <c r="B1157" i="1" s="1"/>
  <c r="B1160" i="1" s="1"/>
  <c r="B1163" i="1" s="1"/>
  <c r="Q1129" i="1"/>
  <c r="Q1130" i="1" s="1"/>
  <c r="G1129" i="1"/>
  <c r="G1130" i="1" s="1"/>
  <c r="P1119" i="1"/>
  <c r="O1119" i="1"/>
  <c r="N1119" i="1"/>
  <c r="M1119" i="1"/>
  <c r="L1119" i="1"/>
  <c r="K1119" i="1"/>
  <c r="J1119" i="1"/>
  <c r="I1119" i="1"/>
  <c r="H1119" i="1"/>
  <c r="M1118" i="1"/>
  <c r="L1118" i="1"/>
  <c r="W1253" i="2" l="1"/>
  <c r="Z1253" i="2" s="1"/>
  <c r="W1159" i="1"/>
  <c r="Z1159" i="1" s="1"/>
  <c r="W1156" i="1"/>
  <c r="Z1156" i="1" s="1"/>
  <c r="W1250" i="2"/>
  <c r="Z1250" i="2" s="1"/>
  <c r="W1247" i="2"/>
  <c r="Z1247" i="2" s="1"/>
  <c r="W1244" i="2"/>
  <c r="W1150" i="1"/>
  <c r="W1147" i="1"/>
  <c r="Z1147" i="1" s="1"/>
  <c r="W1241" i="2"/>
  <c r="Z1241" i="2" s="1"/>
  <c r="W1141" i="1"/>
  <c r="Z1141" i="1" s="1"/>
  <c r="W1138" i="1"/>
  <c r="W1229" i="2"/>
  <c r="Z1229" i="2" s="1"/>
  <c r="W1135" i="1"/>
  <c r="Z1135" i="1" s="1"/>
  <c r="M1166" i="1"/>
  <c r="L1166" i="1"/>
  <c r="W1223" i="2"/>
  <c r="Z1223" i="2" s="1"/>
  <c r="U1227" i="2"/>
  <c r="U1230" i="2" s="1"/>
  <c r="U1233" i="2" s="1"/>
  <c r="U1236" i="2" s="1"/>
  <c r="U1239" i="2" s="1"/>
  <c r="U1242" i="2" s="1"/>
  <c r="U1245" i="2" s="1"/>
  <c r="U1248" i="2" s="1"/>
  <c r="U1251" i="2" s="1"/>
  <c r="U1254" i="2" s="1"/>
  <c r="U1257" i="2" s="1"/>
  <c r="G1227" i="2"/>
  <c r="G1230" i="2" s="1"/>
  <c r="G1233" i="2" s="1"/>
  <c r="G1236" i="2" s="1"/>
  <c r="G1239" i="2" s="1"/>
  <c r="G1242" i="2" s="1"/>
  <c r="G1245" i="2" s="1"/>
  <c r="G1248" i="2" s="1"/>
  <c r="G1251" i="2" s="1"/>
  <c r="G1254" i="2" s="1"/>
  <c r="G1257" i="2" s="1"/>
  <c r="W1224" i="2"/>
  <c r="W1227" i="2" s="1"/>
  <c r="X1224" i="2"/>
  <c r="X1227" i="2" s="1"/>
  <c r="X1230" i="2" s="1"/>
  <c r="X1233" i="2" s="1"/>
  <c r="X1236" i="2" s="1"/>
  <c r="X1239" i="2" s="1"/>
  <c r="R1224" i="2"/>
  <c r="R1227" i="2" s="1"/>
  <c r="R1230" i="2" s="1"/>
  <c r="R1233" i="2" s="1"/>
  <c r="R1236" i="2" s="1"/>
  <c r="R1239" i="2" s="1"/>
  <c r="R1242" i="2" s="1"/>
  <c r="R1245" i="2" s="1"/>
  <c r="R1248" i="2" s="1"/>
  <c r="R1251" i="2" s="1"/>
  <c r="R1254" i="2" s="1"/>
  <c r="R1257" i="2" s="1"/>
  <c r="Q1133" i="1"/>
  <c r="Q1136" i="1" s="1"/>
  <c r="Q1139" i="1" s="1"/>
  <c r="Q1142" i="1" s="1"/>
  <c r="Q1145" i="1" s="1"/>
  <c r="Q1148" i="1" s="1"/>
  <c r="Q1151" i="1" s="1"/>
  <c r="Q1154" i="1" s="1"/>
  <c r="Q1157" i="1" s="1"/>
  <c r="Q1160" i="1" s="1"/>
  <c r="Q1163" i="1" s="1"/>
  <c r="G1133" i="1"/>
  <c r="G1136" i="1" s="1"/>
  <c r="G1139" i="1" s="1"/>
  <c r="G1142" i="1" s="1"/>
  <c r="G1145" i="1" s="1"/>
  <c r="G1148" i="1" s="1"/>
  <c r="G1151" i="1" s="1"/>
  <c r="G1154" i="1" s="1"/>
  <c r="G1157" i="1" s="1"/>
  <c r="G1160" i="1" s="1"/>
  <c r="G1163" i="1" s="1"/>
  <c r="W1132" i="1"/>
  <c r="W1129" i="1"/>
  <c r="Z1129" i="1" s="1"/>
  <c r="U1204" i="2"/>
  <c r="X1242" i="2" l="1"/>
  <c r="X1245" i="2" s="1"/>
  <c r="X1248" i="2" s="1"/>
  <c r="X1251" i="2" s="1"/>
  <c r="X1254" i="2" s="1"/>
  <c r="X1257" i="2" s="1"/>
  <c r="W1230" i="2"/>
  <c r="W1233" i="2" s="1"/>
  <c r="W1236" i="2" s="1"/>
  <c r="W1239" i="2" s="1"/>
  <c r="W1242" i="2" s="1"/>
  <c r="W1245" i="2" s="1"/>
  <c r="W1248" i="2" s="1"/>
  <c r="W1251" i="2" s="1"/>
  <c r="W1254" i="2" s="1"/>
  <c r="W1257" i="2" s="1"/>
  <c r="X1130" i="1"/>
  <c r="X1133" i="1" s="1"/>
  <c r="X1136" i="1" s="1"/>
  <c r="X1139" i="1" s="1"/>
  <c r="X1142" i="1" s="1"/>
  <c r="X1145" i="1" s="1"/>
  <c r="X1148" i="1" s="1"/>
  <c r="X1151" i="1" s="1"/>
  <c r="X1154" i="1" s="1"/>
  <c r="X1157" i="1" s="1"/>
  <c r="X1160" i="1" s="1"/>
  <c r="X1163" i="1" s="1"/>
  <c r="W1130" i="1"/>
  <c r="W1133" i="1" s="1"/>
  <c r="W1136" i="1" s="1"/>
  <c r="W1139" i="1" s="1"/>
  <c r="W1142" i="1" s="1"/>
  <c r="W1145" i="1" s="1"/>
  <c r="W1148" i="1" s="1"/>
  <c r="W1151" i="1" s="1"/>
  <c r="W1154" i="1" s="1"/>
  <c r="W1157" i="1" s="1"/>
  <c r="W1160" i="1" s="1"/>
  <c r="W1163" i="1" s="1"/>
  <c r="Q1111" i="1"/>
  <c r="W1111" i="1" l="1"/>
  <c r="Z1108" i="1" l="1"/>
  <c r="Z1201" i="2"/>
  <c r="U1201" i="2"/>
  <c r="Z1198" i="2" l="1"/>
  <c r="U1198" i="2" l="1"/>
  <c r="U1195" i="2" l="1"/>
  <c r="Z1099" i="1"/>
  <c r="Z1102" i="1"/>
  <c r="Z1192" i="2" l="1"/>
  <c r="U1192" i="2"/>
  <c r="U1186" i="2" l="1"/>
  <c r="U1189" i="2"/>
  <c r="U1183" i="2"/>
  <c r="U1180" i="2"/>
  <c r="U1177" i="2"/>
  <c r="U1174" i="2"/>
  <c r="P1071" i="1"/>
  <c r="R1207" i="2"/>
  <c r="G1207" i="2"/>
  <c r="R1204" i="2"/>
  <c r="G1204" i="2"/>
  <c r="R1201" i="2"/>
  <c r="G1201" i="2"/>
  <c r="R1198" i="2"/>
  <c r="W1198" i="2" s="1"/>
  <c r="G1198" i="2"/>
  <c r="R1195" i="2"/>
  <c r="G1195" i="2"/>
  <c r="R1192" i="2"/>
  <c r="G1192" i="2"/>
  <c r="R1189" i="2"/>
  <c r="G1189" i="2"/>
  <c r="R1186" i="2"/>
  <c r="G1186" i="2"/>
  <c r="R1183" i="2"/>
  <c r="G1183" i="2"/>
  <c r="R1180" i="2"/>
  <c r="G1180" i="2"/>
  <c r="R1177" i="2"/>
  <c r="G1177" i="2"/>
  <c r="R1174" i="2"/>
  <c r="G1174" i="2"/>
  <c r="Q1114" i="1"/>
  <c r="G1114" i="1"/>
  <c r="G1111" i="1"/>
  <c r="Q1108" i="1"/>
  <c r="G1108" i="1"/>
  <c r="Q1105" i="1"/>
  <c r="G1105" i="1"/>
  <c r="Q1102" i="1"/>
  <c r="G1102" i="1"/>
  <c r="Q1099" i="1"/>
  <c r="G1099" i="1"/>
  <c r="Q1096" i="1"/>
  <c r="G1096" i="1"/>
  <c r="Q1093" i="1"/>
  <c r="G1093" i="1"/>
  <c r="Q1090" i="1"/>
  <c r="G1090" i="1"/>
  <c r="Q1087" i="1"/>
  <c r="G1087" i="1"/>
  <c r="Q1084" i="1"/>
  <c r="G1084" i="1"/>
  <c r="G1081" i="1"/>
  <c r="Q1081" i="1"/>
  <c r="U1158" i="2"/>
  <c r="Z1060" i="1"/>
  <c r="U1155" i="2"/>
  <c r="U1152" i="2"/>
  <c r="U1149" i="2"/>
  <c r="U1146" i="2"/>
  <c r="U1143" i="2"/>
  <c r="U1134" i="2"/>
  <c r="U1131" i="2"/>
  <c r="U1128" i="2"/>
  <c r="G1033" i="1"/>
  <c r="Q1066" i="1"/>
  <c r="G1066" i="1"/>
  <c r="Q1063" i="1"/>
  <c r="W1063" i="1" s="1"/>
  <c r="Z1063" i="1" s="1"/>
  <c r="G1063" i="1"/>
  <c r="Q1060" i="1"/>
  <c r="W1060" i="1" s="1"/>
  <c r="G1060" i="1"/>
  <c r="Q1057" i="1"/>
  <c r="W1057" i="1" s="1"/>
  <c r="Z1057" i="1" s="1"/>
  <c r="G1057" i="1"/>
  <c r="Q1054" i="1"/>
  <c r="G1054" i="1"/>
  <c r="Q1051" i="1"/>
  <c r="W1051" i="1" s="1"/>
  <c r="G1051" i="1"/>
  <c r="Q1048" i="1"/>
  <c r="W1048" i="1" s="1"/>
  <c r="Z1048" i="1" s="1"/>
  <c r="G1048" i="1"/>
  <c r="Q1045" i="1"/>
  <c r="G1045" i="1"/>
  <c r="W1045" i="1" s="1"/>
  <c r="Z1045" i="1" s="1"/>
  <c r="Q1042" i="1"/>
  <c r="G1042" i="1"/>
  <c r="W1042" i="1" s="1"/>
  <c r="Z1042" i="1" s="1"/>
  <c r="Q1039" i="1"/>
  <c r="W1039" i="1" s="1"/>
  <c r="Z1039" i="1" s="1"/>
  <c r="G1039" i="1"/>
  <c r="U1125" i="2"/>
  <c r="R1158" i="2"/>
  <c r="G1158" i="2"/>
  <c r="R1155" i="2"/>
  <c r="G1155" i="2"/>
  <c r="R1152" i="2"/>
  <c r="G1152" i="2"/>
  <c r="R1149" i="2"/>
  <c r="G1149" i="2"/>
  <c r="R1146" i="2"/>
  <c r="G1146" i="2"/>
  <c r="R1143" i="2"/>
  <c r="G1143" i="2"/>
  <c r="R1140" i="2"/>
  <c r="G1140" i="2"/>
  <c r="R1137" i="2"/>
  <c r="G1137" i="2"/>
  <c r="R1134" i="2"/>
  <c r="G1134" i="2"/>
  <c r="R1131" i="2"/>
  <c r="G1131" i="2"/>
  <c r="U1097" i="2"/>
  <c r="Q1163" i="2"/>
  <c r="P1163" i="2"/>
  <c r="O1163" i="2"/>
  <c r="N1163" i="2"/>
  <c r="M1163" i="2"/>
  <c r="L1163" i="2"/>
  <c r="J1163" i="2"/>
  <c r="K1163" i="2"/>
  <c r="R1128" i="2"/>
  <c r="G1128" i="2"/>
  <c r="R1125" i="2"/>
  <c r="G1125" i="2"/>
  <c r="O1071" i="1"/>
  <c r="N1071" i="1"/>
  <c r="M1071" i="1"/>
  <c r="L1071" i="1"/>
  <c r="K1071" i="1"/>
  <c r="I1071" i="1"/>
  <c r="H1071" i="1"/>
  <c r="J1071" i="1"/>
  <c r="Q1036" i="1"/>
  <c r="G1036" i="1"/>
  <c r="Q1033" i="1"/>
  <c r="U1109" i="2"/>
  <c r="W1207" i="2" l="1"/>
  <c r="Z1207" i="2" s="1"/>
  <c r="W1114" i="1"/>
  <c r="Z1114" i="1" s="1"/>
  <c r="Z1111" i="1"/>
  <c r="W1108" i="1"/>
  <c r="W1105" i="1"/>
  <c r="Z1105" i="1" s="1"/>
  <c r="W1195" i="2"/>
  <c r="Z1195" i="2" s="1"/>
  <c r="W1102" i="1"/>
  <c r="W1201" i="2"/>
  <c r="W1066" i="1"/>
  <c r="Z1066" i="1" s="1"/>
  <c r="W1204" i="2"/>
  <c r="Z1204" i="2" s="1"/>
  <c r="W1099" i="1"/>
  <c r="W1192" i="2"/>
  <c r="W1093" i="1"/>
  <c r="Z1093" i="1" s="1"/>
  <c r="W1096" i="1"/>
  <c r="Z1096" i="1" s="1"/>
  <c r="W1189" i="2"/>
  <c r="Z1189" i="2" s="1"/>
  <c r="W1186" i="2"/>
  <c r="Z1186" i="2" s="1"/>
  <c r="W1090" i="1"/>
  <c r="Z1090" i="1" s="1"/>
  <c r="W1183" i="2"/>
  <c r="Z1183" i="2" s="1"/>
  <c r="W1087" i="1"/>
  <c r="Z1087" i="1" s="1"/>
  <c r="W1180" i="2"/>
  <c r="Z1180" i="2" s="1"/>
  <c r="W1177" i="2"/>
  <c r="Z1177" i="2" s="1"/>
  <c r="W1084" i="1"/>
  <c r="Z1084" i="1" s="1"/>
  <c r="W1081" i="1"/>
  <c r="Z1081" i="1" s="1"/>
  <c r="W1174" i="2"/>
  <c r="W1131" i="2"/>
  <c r="Z1131" i="2" s="1"/>
  <c r="W1149" i="2"/>
  <c r="Z1149" i="2" s="1"/>
  <c r="W1155" i="2"/>
  <c r="Z1155" i="2" s="1"/>
  <c r="W1158" i="2"/>
  <c r="Z1158" i="2" s="1"/>
  <c r="W1152" i="2"/>
  <c r="Z1152" i="2" s="1"/>
  <c r="W1146" i="2"/>
  <c r="Z1146" i="2" s="1"/>
  <c r="W1054" i="1"/>
  <c r="Z1054" i="1" s="1"/>
  <c r="Z1051" i="1"/>
  <c r="W1143" i="2"/>
  <c r="Z1143" i="2" s="1"/>
  <c r="W1140" i="2"/>
  <c r="Z1140" i="2" s="1"/>
  <c r="W1137" i="2"/>
  <c r="Z1137" i="2" s="1"/>
  <c r="W1134" i="2"/>
  <c r="Z1134" i="2" s="1"/>
  <c r="W1036" i="1"/>
  <c r="Z1036" i="1" s="1"/>
  <c r="W1128" i="2"/>
  <c r="Z1128" i="2" s="1"/>
  <c r="W1125" i="2"/>
  <c r="Z1125" i="2" s="1"/>
  <c r="I1163" i="2"/>
  <c r="W1033" i="1"/>
  <c r="Z1033" i="1" s="1"/>
  <c r="U1106" i="2"/>
  <c r="U1060" i="2"/>
  <c r="H1023" i="1"/>
  <c r="U1103" i="2"/>
  <c r="U1100" i="2"/>
  <c r="K1085" i="2"/>
  <c r="J994" i="1"/>
  <c r="U1094" i="2"/>
  <c r="M1114" i="2"/>
  <c r="N1114" i="2"/>
  <c r="O1114" i="2"/>
  <c r="L1023" i="1"/>
  <c r="M1023" i="1"/>
  <c r="N1023" i="1"/>
  <c r="P1023" i="1"/>
  <c r="U1091" i="2"/>
  <c r="I1085" i="2"/>
  <c r="I1114" i="2" s="1"/>
  <c r="G7" i="4"/>
  <c r="Q7" i="4"/>
  <c r="W7" i="4"/>
  <c r="B8" i="4"/>
  <c r="B11" i="4" s="1"/>
  <c r="C8" i="4"/>
  <c r="D8" i="4"/>
  <c r="D11" i="4" s="1"/>
  <c r="D14" i="4" s="1"/>
  <c r="D17" i="4" s="1"/>
  <c r="D20" i="4" s="1"/>
  <c r="D23" i="4" s="1"/>
  <c r="E8" i="4"/>
  <c r="E11" i="4" s="1"/>
  <c r="E14" i="4" s="1"/>
  <c r="E17" i="4" s="1"/>
  <c r="E20" i="4" s="1"/>
  <c r="E23" i="4" s="1"/>
  <c r="F8" i="4"/>
  <c r="F11" i="4" s="1"/>
  <c r="F14" i="4" s="1"/>
  <c r="F17" i="4" s="1"/>
  <c r="F20" i="4" s="1"/>
  <c r="G8" i="4"/>
  <c r="H8" i="4"/>
  <c r="I8" i="4"/>
  <c r="I11" i="4" s="1"/>
  <c r="I14" i="4" s="1"/>
  <c r="I17" i="4" s="1"/>
  <c r="I20" i="4" s="1"/>
  <c r="J8" i="4"/>
  <c r="J11" i="4" s="1"/>
  <c r="J14" i="4" s="1"/>
  <c r="J17" i="4" s="1"/>
  <c r="J20" i="4" s="1"/>
  <c r="J23" i="4" s="1"/>
  <c r="K8" i="4"/>
  <c r="L8" i="4"/>
  <c r="L11" i="4" s="1"/>
  <c r="L14" i="4" s="1"/>
  <c r="L17" i="4" s="1"/>
  <c r="L20" i="4" s="1"/>
  <c r="L23" i="4" s="1"/>
  <c r="M8" i="4"/>
  <c r="M11" i="4" s="1"/>
  <c r="M14" i="4" s="1"/>
  <c r="M17" i="4" s="1"/>
  <c r="M20" i="4" s="1"/>
  <c r="M23" i="4" s="1"/>
  <c r="N8" i="4"/>
  <c r="N11" i="4" s="1"/>
  <c r="N14" i="4" s="1"/>
  <c r="N17" i="4" s="1"/>
  <c r="N20" i="4" s="1"/>
  <c r="N23" i="4" s="1"/>
  <c r="O8" i="4"/>
  <c r="P8" i="4"/>
  <c r="Q8" i="4"/>
  <c r="Q11" i="4" s="1"/>
  <c r="R8" i="4"/>
  <c r="R11" i="4" s="1"/>
  <c r="R14" i="4" s="1"/>
  <c r="R17" i="4" s="1"/>
  <c r="S8" i="4"/>
  <c r="T8" i="4"/>
  <c r="T11" i="4" s="1"/>
  <c r="T14" i="4" s="1"/>
  <c r="T17" i="4" s="1"/>
  <c r="T20" i="4" s="1"/>
  <c r="T23" i="4" s="1"/>
  <c r="U8" i="4"/>
  <c r="U11" i="4" s="1"/>
  <c r="U14" i="4" s="1"/>
  <c r="U17" i="4" s="1"/>
  <c r="U20" i="4" s="1"/>
  <c r="U23" i="4" s="1"/>
  <c r="V8" i="4"/>
  <c r="V11" i="4" s="1"/>
  <c r="V14" i="4" s="1"/>
  <c r="V17" i="4" s="1"/>
  <c r="V20" i="4" s="1"/>
  <c r="V23" i="4" s="1"/>
  <c r="G10" i="4"/>
  <c r="Q10" i="4"/>
  <c r="C11" i="4"/>
  <c r="G11" i="4"/>
  <c r="G14" i="4" s="1"/>
  <c r="G17" i="4" s="1"/>
  <c r="G20" i="4" s="1"/>
  <c r="G23" i="4" s="1"/>
  <c r="H11" i="4"/>
  <c r="H14" i="4" s="1"/>
  <c r="H17" i="4" s="1"/>
  <c r="H20" i="4" s="1"/>
  <c r="H23" i="4" s="1"/>
  <c r="K11" i="4"/>
  <c r="O11" i="4"/>
  <c r="P11" i="4"/>
  <c r="S11" i="4"/>
  <c r="S14" i="4" s="1"/>
  <c r="G13" i="4"/>
  <c r="Q13" i="4"/>
  <c r="B14" i="4"/>
  <c r="B17" i="4" s="1"/>
  <c r="B20" i="4" s="1"/>
  <c r="B23" i="4" s="1"/>
  <c r="C14" i="4"/>
  <c r="K14" i="4"/>
  <c r="O14" i="4"/>
  <c r="O17" i="4" s="1"/>
  <c r="P14" i="4"/>
  <c r="P17" i="4" s="1"/>
  <c r="P20" i="4" s="1"/>
  <c r="P23" i="4" s="1"/>
  <c r="G16" i="4"/>
  <c r="Q16" i="4"/>
  <c r="C17" i="4"/>
  <c r="K17" i="4"/>
  <c r="K20" i="4" s="1"/>
  <c r="K23" i="4" s="1"/>
  <c r="S17" i="4"/>
  <c r="G19" i="4"/>
  <c r="Q19" i="4"/>
  <c r="C20" i="4"/>
  <c r="C23" i="4" s="1"/>
  <c r="O20" i="4"/>
  <c r="O23" i="4" s="1"/>
  <c r="R20" i="4"/>
  <c r="S20" i="4"/>
  <c r="S23" i="4" s="1"/>
  <c r="G22" i="4"/>
  <c r="Q22" i="4"/>
  <c r="W22" i="4"/>
  <c r="Z22" i="4" s="1"/>
  <c r="F23" i="4"/>
  <c r="I23" i="4"/>
  <c r="R23" i="4"/>
  <c r="G25" i="4"/>
  <c r="W25" i="4" s="1"/>
  <c r="Q25" i="4"/>
  <c r="B26" i="4"/>
  <c r="C26" i="4"/>
  <c r="D26" i="4"/>
  <c r="E26" i="4"/>
  <c r="F26" i="4"/>
  <c r="G26" i="4"/>
  <c r="H26" i="4"/>
  <c r="I26" i="4"/>
  <c r="J26" i="4"/>
  <c r="K26" i="4"/>
  <c r="L26" i="4"/>
  <c r="M26" i="4"/>
  <c r="N26" i="4"/>
  <c r="O26" i="4"/>
  <c r="O29" i="4" s="1"/>
  <c r="P26" i="4"/>
  <c r="Q26" i="4"/>
  <c r="R26" i="4"/>
  <c r="S26" i="4"/>
  <c r="T26" i="4"/>
  <c r="U26" i="4"/>
  <c r="V26" i="4"/>
  <c r="G28" i="4"/>
  <c r="W28" i="4" s="1"/>
  <c r="Q28" i="4"/>
  <c r="B29" i="4"/>
  <c r="B32" i="4" s="1"/>
  <c r="C29" i="4"/>
  <c r="D29" i="4"/>
  <c r="E29" i="4"/>
  <c r="F29" i="4"/>
  <c r="H29" i="4"/>
  <c r="I29" i="4"/>
  <c r="J29" i="4"/>
  <c r="K29" i="4"/>
  <c r="L29" i="4"/>
  <c r="M29" i="4"/>
  <c r="N29" i="4"/>
  <c r="P29" i="4"/>
  <c r="Q29" i="4"/>
  <c r="R29" i="4"/>
  <c r="S29" i="4"/>
  <c r="T29" i="4"/>
  <c r="U29" i="4"/>
  <c r="V29" i="4"/>
  <c r="C31" i="4"/>
  <c r="C32" i="4" s="1"/>
  <c r="D31" i="4"/>
  <c r="E31" i="4"/>
  <c r="E32" i="4" s="1"/>
  <c r="F31" i="4"/>
  <c r="H31" i="4"/>
  <c r="H32" i="4" s="1"/>
  <c r="I31" i="4"/>
  <c r="J31" i="4"/>
  <c r="K31" i="4"/>
  <c r="K32" i="4" s="1"/>
  <c r="L31" i="4"/>
  <c r="M31" i="4"/>
  <c r="N31" i="4"/>
  <c r="N32" i="4" s="1"/>
  <c r="O31" i="4"/>
  <c r="P31" i="4"/>
  <c r="P32" i="4" s="1"/>
  <c r="R31" i="4"/>
  <c r="S31" i="4"/>
  <c r="T31" i="4"/>
  <c r="T32" i="4" s="1"/>
  <c r="U31" i="4"/>
  <c r="U32" i="4" s="1"/>
  <c r="L32" i="4"/>
  <c r="V32" i="4"/>
  <c r="B34" i="4"/>
  <c r="C34" i="4"/>
  <c r="D34" i="4"/>
  <c r="E34" i="4"/>
  <c r="F34" i="4"/>
  <c r="H34" i="4"/>
  <c r="I34" i="4"/>
  <c r="J34" i="4"/>
  <c r="K34" i="4"/>
  <c r="L34" i="4"/>
  <c r="M34" i="4"/>
  <c r="N34" i="4"/>
  <c r="O34" i="4"/>
  <c r="P34" i="4"/>
  <c r="R34" i="4"/>
  <c r="S34" i="4"/>
  <c r="T34" i="4"/>
  <c r="U34" i="4"/>
  <c r="V34" i="4"/>
  <c r="G37" i="4"/>
  <c r="Q37" i="4"/>
  <c r="G40" i="4"/>
  <c r="Q40" i="4"/>
  <c r="W40" i="4" s="1"/>
  <c r="K3" i="1"/>
  <c r="L3" i="1"/>
  <c r="G11" i="1"/>
  <c r="G12" i="1" s="1"/>
  <c r="G15" i="1" s="1"/>
  <c r="G18" i="1" s="1"/>
  <c r="G21" i="1" s="1"/>
  <c r="G24" i="1" s="1"/>
  <c r="Q11" i="1"/>
  <c r="B12" i="1"/>
  <c r="B15" i="1" s="1"/>
  <c r="B18" i="1" s="1"/>
  <c r="B21" i="1" s="1"/>
  <c r="B24" i="1" s="1"/>
  <c r="B27" i="1" s="1"/>
  <c r="B30" i="1" s="1"/>
  <c r="B33" i="1" s="1"/>
  <c r="B36" i="1" s="1"/>
  <c r="B39" i="1" s="1"/>
  <c r="B42" i="1" s="1"/>
  <c r="C12" i="1"/>
  <c r="D12" i="1"/>
  <c r="E12" i="1"/>
  <c r="E15" i="1" s="1"/>
  <c r="E18" i="1" s="1"/>
  <c r="E21" i="1" s="1"/>
  <c r="E24" i="1" s="1"/>
  <c r="E27" i="1" s="1"/>
  <c r="E30" i="1" s="1"/>
  <c r="E33" i="1" s="1"/>
  <c r="E36" i="1" s="1"/>
  <c r="E39" i="1" s="1"/>
  <c r="E42" i="1" s="1"/>
  <c r="E45" i="1" s="1"/>
  <c r="E62" i="1" s="1"/>
  <c r="E65" i="1" s="1"/>
  <c r="E68" i="1" s="1"/>
  <c r="E71" i="1" s="1"/>
  <c r="E74" i="1" s="1"/>
  <c r="E77" i="1" s="1"/>
  <c r="E80" i="1" s="1"/>
  <c r="E83" i="1" s="1"/>
  <c r="E86" i="1" s="1"/>
  <c r="E89" i="1" s="1"/>
  <c r="E92" i="1" s="1"/>
  <c r="E95" i="1" s="1"/>
  <c r="E111" i="1" s="1"/>
  <c r="E114" i="1" s="1"/>
  <c r="E117" i="1" s="1"/>
  <c r="E120" i="1" s="1"/>
  <c r="E123" i="1" s="1"/>
  <c r="E126" i="1" s="1"/>
  <c r="E129" i="1" s="1"/>
  <c r="E132" i="1" s="1"/>
  <c r="E135" i="1" s="1"/>
  <c r="E138" i="1" s="1"/>
  <c r="E141" i="1" s="1"/>
  <c r="E144" i="1" s="1"/>
  <c r="E161" i="1" s="1"/>
  <c r="E164" i="1" s="1"/>
  <c r="E167" i="1" s="1"/>
  <c r="E170" i="1" s="1"/>
  <c r="E173" i="1" s="1"/>
  <c r="E176" i="1" s="1"/>
  <c r="E179" i="1" s="1"/>
  <c r="E182" i="1" s="1"/>
  <c r="E185" i="1" s="1"/>
  <c r="E188" i="1" s="1"/>
  <c r="E191" i="1" s="1"/>
  <c r="E194" i="1" s="1"/>
  <c r="E211" i="1" s="1"/>
  <c r="F12" i="1"/>
  <c r="H12" i="1"/>
  <c r="H15" i="1" s="1"/>
  <c r="H18" i="1" s="1"/>
  <c r="H21" i="1" s="1"/>
  <c r="H24" i="1" s="1"/>
  <c r="H27" i="1" s="1"/>
  <c r="H30" i="1" s="1"/>
  <c r="H33" i="1" s="1"/>
  <c r="H36" i="1" s="1"/>
  <c r="H39" i="1" s="1"/>
  <c r="H42" i="1" s="1"/>
  <c r="H45" i="1" s="1"/>
  <c r="I12" i="1"/>
  <c r="J12" i="1"/>
  <c r="J15" i="1" s="1"/>
  <c r="K12" i="1"/>
  <c r="L12" i="1"/>
  <c r="M12" i="1"/>
  <c r="M15" i="1" s="1"/>
  <c r="M18" i="1" s="1"/>
  <c r="M21" i="1" s="1"/>
  <c r="M24" i="1" s="1"/>
  <c r="M27" i="1" s="1"/>
  <c r="M30" i="1" s="1"/>
  <c r="M33" i="1" s="1"/>
  <c r="N12" i="1"/>
  <c r="O12" i="1"/>
  <c r="P12" i="1"/>
  <c r="P15" i="1" s="1"/>
  <c r="P18" i="1" s="1"/>
  <c r="P21" i="1" s="1"/>
  <c r="P24" i="1" s="1"/>
  <c r="P27" i="1" s="1"/>
  <c r="G14" i="1"/>
  <c r="W14" i="1" s="1"/>
  <c r="X15" i="1" s="1"/>
  <c r="Q14" i="1"/>
  <c r="C15" i="1"/>
  <c r="C18" i="1" s="1"/>
  <c r="C21" i="1" s="1"/>
  <c r="C24" i="1" s="1"/>
  <c r="D15" i="1"/>
  <c r="D18" i="1" s="1"/>
  <c r="D21" i="1" s="1"/>
  <c r="D24" i="1" s="1"/>
  <c r="D27" i="1" s="1"/>
  <c r="D30" i="1" s="1"/>
  <c r="D33" i="1" s="1"/>
  <c r="D36" i="1" s="1"/>
  <c r="D39" i="1" s="1"/>
  <c r="D42" i="1" s="1"/>
  <c r="D45" i="1" s="1"/>
  <c r="D62" i="1" s="1"/>
  <c r="D65" i="1" s="1"/>
  <c r="D68" i="1" s="1"/>
  <c r="D71" i="1" s="1"/>
  <c r="D74" i="1" s="1"/>
  <c r="D77" i="1" s="1"/>
  <c r="D80" i="1" s="1"/>
  <c r="D83" i="1" s="1"/>
  <c r="D86" i="1" s="1"/>
  <c r="F15" i="1"/>
  <c r="I15" i="1"/>
  <c r="K15" i="1"/>
  <c r="K18" i="1" s="1"/>
  <c r="K21" i="1" s="1"/>
  <c r="K24" i="1" s="1"/>
  <c r="K27" i="1" s="1"/>
  <c r="K30" i="1" s="1"/>
  <c r="K33" i="1" s="1"/>
  <c r="K36" i="1" s="1"/>
  <c r="K39" i="1" s="1"/>
  <c r="K42" i="1" s="1"/>
  <c r="K45" i="1" s="1"/>
  <c r="K62" i="1" s="1"/>
  <c r="K65" i="1" s="1"/>
  <c r="K68" i="1" s="1"/>
  <c r="K71" i="1" s="1"/>
  <c r="K74" i="1" s="1"/>
  <c r="K77" i="1" s="1"/>
  <c r="K80" i="1" s="1"/>
  <c r="K83" i="1" s="1"/>
  <c r="K86" i="1" s="1"/>
  <c r="K89" i="1" s="1"/>
  <c r="K92" i="1" s="1"/>
  <c r="K95" i="1" s="1"/>
  <c r="K111" i="1" s="1"/>
  <c r="K114" i="1" s="1"/>
  <c r="K117" i="1" s="1"/>
  <c r="K120" i="1" s="1"/>
  <c r="K123" i="1" s="1"/>
  <c r="K126" i="1" s="1"/>
  <c r="K129" i="1" s="1"/>
  <c r="K132" i="1" s="1"/>
  <c r="K135" i="1" s="1"/>
  <c r="K138" i="1" s="1"/>
  <c r="L15" i="1"/>
  <c r="L18" i="1" s="1"/>
  <c r="L21" i="1" s="1"/>
  <c r="L24" i="1" s="1"/>
  <c r="L27" i="1" s="1"/>
  <c r="L30" i="1" s="1"/>
  <c r="L33" i="1" s="1"/>
  <c r="L36" i="1" s="1"/>
  <c r="L39" i="1" s="1"/>
  <c r="L42" i="1" s="1"/>
  <c r="L45" i="1" s="1"/>
  <c r="L62" i="1" s="1"/>
  <c r="L65" i="1" s="1"/>
  <c r="L68" i="1" s="1"/>
  <c r="L71" i="1" s="1"/>
  <c r="L74" i="1" s="1"/>
  <c r="L77" i="1" s="1"/>
  <c r="L80" i="1" s="1"/>
  <c r="L83" i="1" s="1"/>
  <c r="L86" i="1" s="1"/>
  <c r="L89" i="1" s="1"/>
  <c r="L92" i="1" s="1"/>
  <c r="L95" i="1" s="1"/>
  <c r="L111" i="1" s="1"/>
  <c r="L114" i="1" s="1"/>
  <c r="L117" i="1" s="1"/>
  <c r="L120" i="1" s="1"/>
  <c r="L123" i="1" s="1"/>
  <c r="L126" i="1" s="1"/>
  <c r="L129" i="1" s="1"/>
  <c r="L132" i="1" s="1"/>
  <c r="L135" i="1" s="1"/>
  <c r="L138" i="1" s="1"/>
  <c r="L141" i="1" s="1"/>
  <c r="L144" i="1" s="1"/>
  <c r="L161" i="1" s="1"/>
  <c r="L164" i="1" s="1"/>
  <c r="L167" i="1" s="1"/>
  <c r="L170" i="1" s="1"/>
  <c r="L173" i="1" s="1"/>
  <c r="L176" i="1" s="1"/>
  <c r="L179" i="1" s="1"/>
  <c r="L182" i="1" s="1"/>
  <c r="L185" i="1" s="1"/>
  <c r="L188" i="1" s="1"/>
  <c r="L191" i="1" s="1"/>
  <c r="L194" i="1" s="1"/>
  <c r="L211" i="1" s="1"/>
  <c r="L214" i="1" s="1"/>
  <c r="L217" i="1" s="1"/>
  <c r="L220" i="1" s="1"/>
  <c r="N15" i="1"/>
  <c r="O15" i="1"/>
  <c r="O18" i="1" s="1"/>
  <c r="O21" i="1" s="1"/>
  <c r="O24" i="1" s="1"/>
  <c r="O27" i="1" s="1"/>
  <c r="O30" i="1" s="1"/>
  <c r="O33" i="1" s="1"/>
  <c r="O36" i="1" s="1"/>
  <c r="O39" i="1" s="1"/>
  <c r="O42" i="1" s="1"/>
  <c r="O45" i="1" s="1"/>
  <c r="O62" i="1" s="1"/>
  <c r="O65" i="1" s="1"/>
  <c r="O68" i="1" s="1"/>
  <c r="O71" i="1" s="1"/>
  <c r="O74" i="1" s="1"/>
  <c r="O77" i="1" s="1"/>
  <c r="O80" i="1" s="1"/>
  <c r="O83" i="1" s="1"/>
  <c r="O86" i="1" s="1"/>
  <c r="O89" i="1" s="1"/>
  <c r="O92" i="1" s="1"/>
  <c r="G17" i="1"/>
  <c r="W17" i="1" s="1"/>
  <c r="X18" i="1" s="1"/>
  <c r="Q17" i="1"/>
  <c r="F18" i="1"/>
  <c r="F21" i="1" s="1"/>
  <c r="F24" i="1" s="1"/>
  <c r="F27" i="1" s="1"/>
  <c r="F30" i="1" s="1"/>
  <c r="F33" i="1" s="1"/>
  <c r="F36" i="1" s="1"/>
  <c r="F39" i="1" s="1"/>
  <c r="F42" i="1" s="1"/>
  <c r="F45" i="1" s="1"/>
  <c r="F62" i="1" s="1"/>
  <c r="F65" i="1" s="1"/>
  <c r="F68" i="1" s="1"/>
  <c r="F71" i="1" s="1"/>
  <c r="F74" i="1" s="1"/>
  <c r="F77" i="1" s="1"/>
  <c r="F80" i="1" s="1"/>
  <c r="F83" i="1" s="1"/>
  <c r="F86" i="1" s="1"/>
  <c r="F89" i="1" s="1"/>
  <c r="F92" i="1" s="1"/>
  <c r="F95" i="1" s="1"/>
  <c r="F111" i="1" s="1"/>
  <c r="F114" i="1" s="1"/>
  <c r="F117" i="1" s="1"/>
  <c r="F120" i="1" s="1"/>
  <c r="F123" i="1" s="1"/>
  <c r="F126" i="1" s="1"/>
  <c r="F129" i="1" s="1"/>
  <c r="F132" i="1" s="1"/>
  <c r="F135" i="1" s="1"/>
  <c r="F138" i="1" s="1"/>
  <c r="F141" i="1" s="1"/>
  <c r="F144" i="1" s="1"/>
  <c r="F161" i="1" s="1"/>
  <c r="F164" i="1" s="1"/>
  <c r="F167" i="1" s="1"/>
  <c r="F170" i="1" s="1"/>
  <c r="F173" i="1" s="1"/>
  <c r="F176" i="1" s="1"/>
  <c r="F179" i="1" s="1"/>
  <c r="F182" i="1" s="1"/>
  <c r="F185" i="1" s="1"/>
  <c r="I18" i="1"/>
  <c r="I21" i="1" s="1"/>
  <c r="I24" i="1" s="1"/>
  <c r="I27" i="1" s="1"/>
  <c r="I30" i="1" s="1"/>
  <c r="I33" i="1" s="1"/>
  <c r="I36" i="1" s="1"/>
  <c r="I39" i="1" s="1"/>
  <c r="I42" i="1" s="1"/>
  <c r="I45" i="1" s="1"/>
  <c r="I62" i="1" s="1"/>
  <c r="I65" i="1" s="1"/>
  <c r="I68" i="1" s="1"/>
  <c r="I71" i="1" s="1"/>
  <c r="I74" i="1" s="1"/>
  <c r="I77" i="1" s="1"/>
  <c r="I80" i="1" s="1"/>
  <c r="I83" i="1" s="1"/>
  <c r="I86" i="1" s="1"/>
  <c r="I89" i="1" s="1"/>
  <c r="I92" i="1" s="1"/>
  <c r="I95" i="1" s="1"/>
  <c r="I111" i="1" s="1"/>
  <c r="I114" i="1" s="1"/>
  <c r="I117" i="1" s="1"/>
  <c r="I120" i="1" s="1"/>
  <c r="I123" i="1" s="1"/>
  <c r="I126" i="1" s="1"/>
  <c r="I129" i="1" s="1"/>
  <c r="I132" i="1" s="1"/>
  <c r="I135" i="1" s="1"/>
  <c r="I138" i="1" s="1"/>
  <c r="I141" i="1" s="1"/>
  <c r="I144" i="1" s="1"/>
  <c r="I161" i="1" s="1"/>
  <c r="I164" i="1" s="1"/>
  <c r="I167" i="1" s="1"/>
  <c r="I170" i="1" s="1"/>
  <c r="I173" i="1" s="1"/>
  <c r="I176" i="1" s="1"/>
  <c r="I179" i="1" s="1"/>
  <c r="I182" i="1" s="1"/>
  <c r="I185" i="1" s="1"/>
  <c r="I188" i="1" s="1"/>
  <c r="I191" i="1" s="1"/>
  <c r="J18" i="1"/>
  <c r="N18" i="1"/>
  <c r="N21" i="1" s="1"/>
  <c r="G20" i="1"/>
  <c r="Q20" i="1"/>
  <c r="W20" i="1"/>
  <c r="J21" i="1"/>
  <c r="J24" i="1" s="1"/>
  <c r="J27" i="1" s="1"/>
  <c r="J30" i="1" s="1"/>
  <c r="J33" i="1" s="1"/>
  <c r="J36" i="1" s="1"/>
  <c r="J39" i="1" s="1"/>
  <c r="J42" i="1" s="1"/>
  <c r="J45" i="1" s="1"/>
  <c r="J62" i="1" s="1"/>
  <c r="J65" i="1" s="1"/>
  <c r="J68" i="1" s="1"/>
  <c r="J71" i="1" s="1"/>
  <c r="J74" i="1" s="1"/>
  <c r="J77" i="1" s="1"/>
  <c r="J80" i="1" s="1"/>
  <c r="J83" i="1" s="1"/>
  <c r="J86" i="1" s="1"/>
  <c r="J89" i="1" s="1"/>
  <c r="J92" i="1" s="1"/>
  <c r="J95" i="1" s="1"/>
  <c r="J111" i="1" s="1"/>
  <c r="J114" i="1" s="1"/>
  <c r="J117" i="1" s="1"/>
  <c r="J120" i="1" s="1"/>
  <c r="J123" i="1" s="1"/>
  <c r="J126" i="1" s="1"/>
  <c r="J129" i="1" s="1"/>
  <c r="J132" i="1" s="1"/>
  <c r="J135" i="1" s="1"/>
  <c r="J138" i="1" s="1"/>
  <c r="J141" i="1" s="1"/>
  <c r="J144" i="1" s="1"/>
  <c r="J161" i="1" s="1"/>
  <c r="J164" i="1" s="1"/>
  <c r="J167" i="1" s="1"/>
  <c r="J170" i="1" s="1"/>
  <c r="J173" i="1" s="1"/>
  <c r="J176" i="1" s="1"/>
  <c r="J179" i="1" s="1"/>
  <c r="J182" i="1" s="1"/>
  <c r="J185" i="1" s="1"/>
  <c r="J188" i="1" s="1"/>
  <c r="J191" i="1" s="1"/>
  <c r="J194" i="1" s="1"/>
  <c r="J211" i="1" s="1"/>
  <c r="J214" i="1" s="1"/>
  <c r="J217" i="1" s="1"/>
  <c r="J220" i="1" s="1"/>
  <c r="J223" i="1" s="1"/>
  <c r="J226" i="1" s="1"/>
  <c r="J229" i="1" s="1"/>
  <c r="J232" i="1" s="1"/>
  <c r="J235" i="1" s="1"/>
  <c r="J238" i="1" s="1"/>
  <c r="J241" i="1" s="1"/>
  <c r="J244" i="1" s="1"/>
  <c r="J261" i="1" s="1"/>
  <c r="J264" i="1" s="1"/>
  <c r="J267" i="1" s="1"/>
  <c r="J270" i="1" s="1"/>
  <c r="J273" i="1" s="1"/>
  <c r="G23" i="1"/>
  <c r="W23" i="1" s="1"/>
  <c r="Q23" i="1"/>
  <c r="N24" i="1"/>
  <c r="N27" i="1" s="1"/>
  <c r="N30" i="1" s="1"/>
  <c r="N33" i="1" s="1"/>
  <c r="N36" i="1" s="1"/>
  <c r="N39" i="1" s="1"/>
  <c r="N42" i="1" s="1"/>
  <c r="N45" i="1" s="1"/>
  <c r="N62" i="1" s="1"/>
  <c r="N65" i="1" s="1"/>
  <c r="N68" i="1" s="1"/>
  <c r="N71" i="1" s="1"/>
  <c r="N74" i="1" s="1"/>
  <c r="N77" i="1" s="1"/>
  <c r="N80" i="1" s="1"/>
  <c r="N83" i="1" s="1"/>
  <c r="N86" i="1" s="1"/>
  <c r="N89" i="1" s="1"/>
  <c r="N92" i="1" s="1"/>
  <c r="N95" i="1" s="1"/>
  <c r="N111" i="1" s="1"/>
  <c r="N114" i="1" s="1"/>
  <c r="N117" i="1" s="1"/>
  <c r="N120" i="1" s="1"/>
  <c r="N123" i="1" s="1"/>
  <c r="N126" i="1" s="1"/>
  <c r="N129" i="1" s="1"/>
  <c r="N132" i="1" s="1"/>
  <c r="N135" i="1" s="1"/>
  <c r="N138" i="1" s="1"/>
  <c r="N141" i="1" s="1"/>
  <c r="N144" i="1" s="1"/>
  <c r="G26" i="1"/>
  <c r="W26" i="1" s="1"/>
  <c r="Q26" i="1"/>
  <c r="C27" i="1"/>
  <c r="G27" i="1"/>
  <c r="G30" i="1" s="1"/>
  <c r="G33" i="1" s="1"/>
  <c r="G36" i="1" s="1"/>
  <c r="G39" i="1" s="1"/>
  <c r="G42" i="1" s="1"/>
  <c r="G45" i="1" s="1"/>
  <c r="G62" i="1" s="1"/>
  <c r="G65" i="1" s="1"/>
  <c r="G68" i="1" s="1"/>
  <c r="G71" i="1" s="1"/>
  <c r="G74" i="1" s="1"/>
  <c r="G77" i="1" s="1"/>
  <c r="G80" i="1" s="1"/>
  <c r="G83" i="1" s="1"/>
  <c r="G86" i="1" s="1"/>
  <c r="G29" i="1"/>
  <c r="AA30" i="1" s="1"/>
  <c r="Q29" i="1"/>
  <c r="W29" i="1"/>
  <c r="C30" i="1"/>
  <c r="C33" i="1" s="1"/>
  <c r="C36" i="1" s="1"/>
  <c r="C39" i="1" s="1"/>
  <c r="C42" i="1" s="1"/>
  <c r="C45" i="1" s="1"/>
  <c r="C62" i="1" s="1"/>
  <c r="C65" i="1" s="1"/>
  <c r="C68" i="1" s="1"/>
  <c r="C71" i="1" s="1"/>
  <c r="C74" i="1" s="1"/>
  <c r="C77" i="1" s="1"/>
  <c r="C80" i="1" s="1"/>
  <c r="C83" i="1" s="1"/>
  <c r="C86" i="1" s="1"/>
  <c r="C89" i="1" s="1"/>
  <c r="P30" i="1"/>
  <c r="P33" i="1" s="1"/>
  <c r="AB30" i="1"/>
  <c r="G32" i="1"/>
  <c r="Q32" i="1"/>
  <c r="W32" i="1" s="1"/>
  <c r="AB33" i="1"/>
  <c r="G35" i="1"/>
  <c r="Q35" i="1"/>
  <c r="M36" i="1"/>
  <c r="M39" i="1" s="1"/>
  <c r="M42" i="1" s="1"/>
  <c r="M45" i="1" s="1"/>
  <c r="M62" i="1" s="1"/>
  <c r="M65" i="1" s="1"/>
  <c r="M68" i="1" s="1"/>
  <c r="M71" i="1" s="1"/>
  <c r="M74" i="1" s="1"/>
  <c r="M77" i="1" s="1"/>
  <c r="M80" i="1" s="1"/>
  <c r="M83" i="1" s="1"/>
  <c r="M86" i="1" s="1"/>
  <c r="M89" i="1" s="1"/>
  <c r="M92" i="1" s="1"/>
  <c r="P36" i="1"/>
  <c r="P39" i="1" s="1"/>
  <c r="P42" i="1" s="1"/>
  <c r="P45" i="1" s="1"/>
  <c r="G38" i="1"/>
  <c r="W38" i="1" s="1"/>
  <c r="Q38" i="1"/>
  <c r="G41" i="1"/>
  <c r="Q41" i="1"/>
  <c r="W41" i="1"/>
  <c r="G44" i="1"/>
  <c r="Q44" i="1"/>
  <c r="W44" i="1" s="1"/>
  <c r="B45" i="1"/>
  <c r="K53" i="1"/>
  <c r="L53" i="1"/>
  <c r="N53" i="1"/>
  <c r="N54" i="1"/>
  <c r="F55" i="1"/>
  <c r="G61" i="1"/>
  <c r="Q61" i="1"/>
  <c r="B62" i="1"/>
  <c r="B65" i="1" s="1"/>
  <c r="B68" i="1" s="1"/>
  <c r="B71" i="1" s="1"/>
  <c r="B74" i="1" s="1"/>
  <c r="B77" i="1" s="1"/>
  <c r="B80" i="1" s="1"/>
  <c r="B83" i="1" s="1"/>
  <c r="B86" i="1" s="1"/>
  <c r="B89" i="1" s="1"/>
  <c r="B92" i="1" s="1"/>
  <c r="B95" i="1" s="1"/>
  <c r="B111" i="1" s="1"/>
  <c r="B114" i="1" s="1"/>
  <c r="B117" i="1" s="1"/>
  <c r="B120" i="1" s="1"/>
  <c r="B123" i="1" s="1"/>
  <c r="B126" i="1" s="1"/>
  <c r="B129" i="1" s="1"/>
  <c r="B132" i="1" s="1"/>
  <c r="B135" i="1" s="1"/>
  <c r="B138" i="1" s="1"/>
  <c r="B141" i="1" s="1"/>
  <c r="B144" i="1" s="1"/>
  <c r="B161" i="1" s="1"/>
  <c r="B164" i="1" s="1"/>
  <c r="B167" i="1" s="1"/>
  <c r="H62" i="1"/>
  <c r="H65" i="1" s="1"/>
  <c r="H68" i="1" s="1"/>
  <c r="H71" i="1" s="1"/>
  <c r="H74" i="1" s="1"/>
  <c r="H77" i="1" s="1"/>
  <c r="H80" i="1" s="1"/>
  <c r="P62" i="1"/>
  <c r="P65" i="1" s="1"/>
  <c r="P68" i="1" s="1"/>
  <c r="P71" i="1" s="1"/>
  <c r="P74" i="1" s="1"/>
  <c r="P77" i="1" s="1"/>
  <c r="P80" i="1" s="1"/>
  <c r="P83" i="1" s="1"/>
  <c r="P86" i="1" s="1"/>
  <c r="P89" i="1" s="1"/>
  <c r="P92" i="1" s="1"/>
  <c r="P95" i="1" s="1"/>
  <c r="P111" i="1" s="1"/>
  <c r="P114" i="1" s="1"/>
  <c r="P117" i="1" s="1"/>
  <c r="P120" i="1" s="1"/>
  <c r="P123" i="1" s="1"/>
  <c r="P126" i="1" s="1"/>
  <c r="P129" i="1" s="1"/>
  <c r="P132" i="1" s="1"/>
  <c r="G64" i="1"/>
  <c r="Q64" i="1"/>
  <c r="W64" i="1"/>
  <c r="G67" i="1"/>
  <c r="W67" i="1" s="1"/>
  <c r="Q67" i="1"/>
  <c r="G70" i="1"/>
  <c r="Q70" i="1"/>
  <c r="W70" i="1" s="1"/>
  <c r="G73" i="1"/>
  <c r="Q73" i="1"/>
  <c r="W73" i="1"/>
  <c r="G76" i="1"/>
  <c r="Q76" i="1"/>
  <c r="W76" i="1" s="1"/>
  <c r="G79" i="1"/>
  <c r="Q79" i="1"/>
  <c r="W79" i="1" s="1"/>
  <c r="G82" i="1"/>
  <c r="Q82" i="1"/>
  <c r="W82" i="1"/>
  <c r="H83" i="1"/>
  <c r="H86" i="1" s="1"/>
  <c r="H89" i="1" s="1"/>
  <c r="H92" i="1" s="1"/>
  <c r="H95" i="1" s="1"/>
  <c r="H111" i="1" s="1"/>
  <c r="H114" i="1" s="1"/>
  <c r="H117" i="1" s="1"/>
  <c r="H120" i="1" s="1"/>
  <c r="H123" i="1" s="1"/>
  <c r="H126" i="1" s="1"/>
  <c r="H129" i="1" s="1"/>
  <c r="H132" i="1" s="1"/>
  <c r="H135" i="1" s="1"/>
  <c r="H138" i="1" s="1"/>
  <c r="H141" i="1" s="1"/>
  <c r="H144" i="1" s="1"/>
  <c r="H161" i="1" s="1"/>
  <c r="H164" i="1" s="1"/>
  <c r="H167" i="1" s="1"/>
  <c r="H170" i="1" s="1"/>
  <c r="H173" i="1" s="1"/>
  <c r="H176" i="1" s="1"/>
  <c r="G85" i="1"/>
  <c r="Q85" i="1"/>
  <c r="W85" i="1" s="1"/>
  <c r="G88" i="1"/>
  <c r="W88" i="1" s="1"/>
  <c r="Q88" i="1"/>
  <c r="D89" i="1"/>
  <c r="D92" i="1" s="1"/>
  <c r="D95" i="1" s="1"/>
  <c r="D111" i="1" s="1"/>
  <c r="D114" i="1" s="1"/>
  <c r="D117" i="1" s="1"/>
  <c r="D120" i="1" s="1"/>
  <c r="D123" i="1" s="1"/>
  <c r="D126" i="1" s="1"/>
  <c r="D129" i="1" s="1"/>
  <c r="D132" i="1" s="1"/>
  <c r="G91" i="1"/>
  <c r="Q91" i="1"/>
  <c r="W91" i="1" s="1"/>
  <c r="C92" i="1"/>
  <c r="C95" i="1" s="1"/>
  <c r="C111" i="1" s="1"/>
  <c r="C114" i="1" s="1"/>
  <c r="C117" i="1" s="1"/>
  <c r="C120" i="1" s="1"/>
  <c r="C123" i="1" s="1"/>
  <c r="C126" i="1" s="1"/>
  <c r="C129" i="1" s="1"/>
  <c r="C132" i="1" s="1"/>
  <c r="C135" i="1" s="1"/>
  <c r="C138" i="1" s="1"/>
  <c r="C141" i="1" s="1"/>
  <c r="C144" i="1" s="1"/>
  <c r="C161" i="1" s="1"/>
  <c r="C164" i="1" s="1"/>
  <c r="C167" i="1" s="1"/>
  <c r="C170" i="1" s="1"/>
  <c r="C173" i="1" s="1"/>
  <c r="C176" i="1" s="1"/>
  <c r="C179" i="1" s="1"/>
  <c r="C182" i="1" s="1"/>
  <c r="G94" i="1"/>
  <c r="W94" i="1" s="1"/>
  <c r="Q94" i="1"/>
  <c r="M95" i="1"/>
  <c r="M111" i="1" s="1"/>
  <c r="M114" i="1" s="1"/>
  <c r="M117" i="1" s="1"/>
  <c r="M120" i="1" s="1"/>
  <c r="M123" i="1" s="1"/>
  <c r="M126" i="1" s="1"/>
  <c r="M129" i="1" s="1"/>
  <c r="M132" i="1" s="1"/>
  <c r="M135" i="1" s="1"/>
  <c r="M138" i="1" s="1"/>
  <c r="M141" i="1" s="1"/>
  <c r="M144" i="1" s="1"/>
  <c r="M161" i="1" s="1"/>
  <c r="M164" i="1" s="1"/>
  <c r="M167" i="1" s="1"/>
  <c r="M170" i="1" s="1"/>
  <c r="M173" i="1" s="1"/>
  <c r="M176" i="1" s="1"/>
  <c r="M179" i="1" s="1"/>
  <c r="M182" i="1" s="1"/>
  <c r="M185" i="1" s="1"/>
  <c r="M188" i="1" s="1"/>
  <c r="O95" i="1"/>
  <c r="O111" i="1" s="1"/>
  <c r="O114" i="1" s="1"/>
  <c r="O117" i="1" s="1"/>
  <c r="K102" i="1"/>
  <c r="L102" i="1"/>
  <c r="G110" i="1"/>
  <c r="Q110" i="1"/>
  <c r="W110" i="1" s="1"/>
  <c r="G113" i="1"/>
  <c r="W113" i="1" s="1"/>
  <c r="Q113" i="1"/>
  <c r="G116" i="1"/>
  <c r="Q116" i="1"/>
  <c r="W116" i="1" s="1"/>
  <c r="G119" i="1"/>
  <c r="Q119" i="1"/>
  <c r="O120" i="1"/>
  <c r="O123" i="1" s="1"/>
  <c r="O126" i="1" s="1"/>
  <c r="O129" i="1" s="1"/>
  <c r="O132" i="1" s="1"/>
  <c r="O135" i="1" s="1"/>
  <c r="O138" i="1" s="1"/>
  <c r="O141" i="1" s="1"/>
  <c r="O144" i="1" s="1"/>
  <c r="O161" i="1" s="1"/>
  <c r="O164" i="1" s="1"/>
  <c r="G122" i="1"/>
  <c r="Q122" i="1"/>
  <c r="G125" i="1"/>
  <c r="Q125" i="1"/>
  <c r="W125" i="1"/>
  <c r="G128" i="1"/>
  <c r="Q128" i="1"/>
  <c r="W128" i="1"/>
  <c r="G131" i="1"/>
  <c r="Q131" i="1"/>
  <c r="G134" i="1"/>
  <c r="Q134" i="1"/>
  <c r="W134" i="1" s="1"/>
  <c r="D135" i="1"/>
  <c r="D138" i="1" s="1"/>
  <c r="D141" i="1" s="1"/>
  <c r="D144" i="1" s="1"/>
  <c r="D161" i="1" s="1"/>
  <c r="D164" i="1" s="1"/>
  <c r="D167" i="1" s="1"/>
  <c r="D170" i="1" s="1"/>
  <c r="D173" i="1" s="1"/>
  <c r="D176" i="1" s="1"/>
  <c r="P135" i="1"/>
  <c r="P138" i="1" s="1"/>
  <c r="P141" i="1" s="1"/>
  <c r="P144" i="1" s="1"/>
  <c r="P161" i="1" s="1"/>
  <c r="P164" i="1" s="1"/>
  <c r="P167" i="1" s="1"/>
  <c r="P170" i="1" s="1"/>
  <c r="P173" i="1" s="1"/>
  <c r="P176" i="1" s="1"/>
  <c r="P179" i="1" s="1"/>
  <c r="P182" i="1" s="1"/>
  <c r="P185" i="1" s="1"/>
  <c r="P188" i="1" s="1"/>
  <c r="P191" i="1" s="1"/>
  <c r="P194" i="1" s="1"/>
  <c r="P211" i="1" s="1"/>
  <c r="P214" i="1" s="1"/>
  <c r="P217" i="1" s="1"/>
  <c r="G137" i="1"/>
  <c r="Q137" i="1"/>
  <c r="W137" i="1"/>
  <c r="G140" i="1"/>
  <c r="W140" i="1" s="1"/>
  <c r="Q140" i="1"/>
  <c r="K141" i="1"/>
  <c r="K144" i="1" s="1"/>
  <c r="K161" i="1" s="1"/>
  <c r="K164" i="1" s="1"/>
  <c r="K167" i="1" s="1"/>
  <c r="K170" i="1" s="1"/>
  <c r="K173" i="1" s="1"/>
  <c r="K176" i="1" s="1"/>
  <c r="K179" i="1" s="1"/>
  <c r="K182" i="1" s="1"/>
  <c r="K185" i="1" s="1"/>
  <c r="K188" i="1" s="1"/>
  <c r="K191" i="1" s="1"/>
  <c r="K194" i="1" s="1"/>
  <c r="K211" i="1" s="1"/>
  <c r="K214" i="1" s="1"/>
  <c r="K217" i="1" s="1"/>
  <c r="K220" i="1" s="1"/>
  <c r="K223" i="1" s="1"/>
  <c r="K226" i="1" s="1"/>
  <c r="K229" i="1" s="1"/>
  <c r="K232" i="1" s="1"/>
  <c r="K235" i="1" s="1"/>
  <c r="K238" i="1" s="1"/>
  <c r="K241" i="1" s="1"/>
  <c r="K244" i="1" s="1"/>
  <c r="K261" i="1" s="1"/>
  <c r="K264" i="1" s="1"/>
  <c r="K267" i="1" s="1"/>
  <c r="K270" i="1" s="1"/>
  <c r="K273" i="1" s="1"/>
  <c r="K276" i="1" s="1"/>
  <c r="K279" i="1" s="1"/>
  <c r="K282" i="1" s="1"/>
  <c r="K285" i="1" s="1"/>
  <c r="K288" i="1" s="1"/>
  <c r="K291" i="1" s="1"/>
  <c r="K294" i="1" s="1"/>
  <c r="K311" i="1" s="1"/>
  <c r="K314" i="1" s="1"/>
  <c r="K317" i="1" s="1"/>
  <c r="K320" i="1" s="1"/>
  <c r="K323" i="1" s="1"/>
  <c r="K326" i="1" s="1"/>
  <c r="K329" i="1" s="1"/>
  <c r="K332" i="1" s="1"/>
  <c r="K335" i="1" s="1"/>
  <c r="K338" i="1" s="1"/>
  <c r="K341" i="1" s="1"/>
  <c r="K344" i="1" s="1"/>
  <c r="K362" i="1" s="1"/>
  <c r="K365" i="1" s="1"/>
  <c r="K368" i="1" s="1"/>
  <c r="K371" i="1" s="1"/>
  <c r="K374" i="1" s="1"/>
  <c r="K377" i="1" s="1"/>
  <c r="K380" i="1" s="1"/>
  <c r="K383" i="1" s="1"/>
  <c r="K386" i="1" s="1"/>
  <c r="K389" i="1" s="1"/>
  <c r="K392" i="1" s="1"/>
  <c r="K395" i="1" s="1"/>
  <c r="K410" i="1" s="1"/>
  <c r="K413" i="1" s="1"/>
  <c r="K416" i="1" s="1"/>
  <c r="K419" i="1" s="1"/>
  <c r="K422" i="1" s="1"/>
  <c r="K425" i="1" s="1"/>
  <c r="K428" i="1" s="1"/>
  <c r="K431" i="1" s="1"/>
  <c r="K434" i="1" s="1"/>
  <c r="K437" i="1" s="1"/>
  <c r="K440" i="1" s="1"/>
  <c r="K443" i="1" s="1"/>
  <c r="K458" i="1" s="1"/>
  <c r="K461" i="1" s="1"/>
  <c r="K464" i="1" s="1"/>
  <c r="K467" i="1" s="1"/>
  <c r="K470" i="1" s="1"/>
  <c r="K473" i="1" s="1"/>
  <c r="K476" i="1" s="1"/>
  <c r="K479" i="1" s="1"/>
  <c r="K482" i="1" s="1"/>
  <c r="K485" i="1" s="1"/>
  <c r="K488" i="1" s="1"/>
  <c r="K491" i="1" s="1"/>
  <c r="K506" i="1" s="1"/>
  <c r="K509" i="1" s="1"/>
  <c r="K512" i="1" s="1"/>
  <c r="K515" i="1" s="1"/>
  <c r="K518" i="1" s="1"/>
  <c r="K521" i="1" s="1"/>
  <c r="K524" i="1" s="1"/>
  <c r="K527" i="1" s="1"/>
  <c r="K530" i="1" s="1"/>
  <c r="K533" i="1" s="1"/>
  <c r="K536" i="1" s="1"/>
  <c r="K539" i="1" s="1"/>
  <c r="K554" i="1" s="1"/>
  <c r="K557" i="1" s="1"/>
  <c r="K560" i="1" s="1"/>
  <c r="K563" i="1" s="1"/>
  <c r="K566" i="1" s="1"/>
  <c r="K569" i="1" s="1"/>
  <c r="K572" i="1" s="1"/>
  <c r="K575" i="1" s="1"/>
  <c r="K578" i="1" s="1"/>
  <c r="K581" i="1" s="1"/>
  <c r="K584" i="1" s="1"/>
  <c r="K587" i="1" s="1"/>
  <c r="K602" i="1" s="1"/>
  <c r="K605" i="1" s="1"/>
  <c r="K608" i="1" s="1"/>
  <c r="K611" i="1" s="1"/>
  <c r="K614" i="1" s="1"/>
  <c r="K617" i="1" s="1"/>
  <c r="K620" i="1" s="1"/>
  <c r="K623" i="1" s="1"/>
  <c r="K626" i="1" s="1"/>
  <c r="K629" i="1" s="1"/>
  <c r="K632" i="1" s="1"/>
  <c r="K635" i="1" s="1"/>
  <c r="K650" i="1" s="1"/>
  <c r="K653" i="1" s="1"/>
  <c r="K656" i="1" s="1"/>
  <c r="K659" i="1" s="1"/>
  <c r="K662" i="1" s="1"/>
  <c r="K665" i="1" s="1"/>
  <c r="K668" i="1" s="1"/>
  <c r="K671" i="1" s="1"/>
  <c r="K674" i="1" s="1"/>
  <c r="K677" i="1" s="1"/>
  <c r="K680" i="1" s="1"/>
  <c r="K683" i="1" s="1"/>
  <c r="K698" i="1" s="1"/>
  <c r="K701" i="1" s="1"/>
  <c r="K704" i="1" s="1"/>
  <c r="K707" i="1" s="1"/>
  <c r="K710" i="1" s="1"/>
  <c r="K713" i="1" s="1"/>
  <c r="K716" i="1" s="1"/>
  <c r="K719" i="1" s="1"/>
  <c r="K722" i="1" s="1"/>
  <c r="K725" i="1" s="1"/>
  <c r="K728" i="1" s="1"/>
  <c r="K731" i="1" s="1"/>
  <c r="K746" i="1" s="1"/>
  <c r="K749" i="1" s="1"/>
  <c r="K752" i="1" s="1"/>
  <c r="K755" i="1" s="1"/>
  <c r="K758" i="1" s="1"/>
  <c r="K761" i="1" s="1"/>
  <c r="K764" i="1" s="1"/>
  <c r="K767" i="1" s="1"/>
  <c r="K770" i="1" s="1"/>
  <c r="K773" i="1" s="1"/>
  <c r="K776" i="1" s="1"/>
  <c r="K779" i="1" s="1"/>
  <c r="K794" i="1" s="1"/>
  <c r="K797" i="1" s="1"/>
  <c r="K800" i="1" s="1"/>
  <c r="K803" i="1" s="1"/>
  <c r="K806" i="1" s="1"/>
  <c r="K809" i="1" s="1"/>
  <c r="K812" i="1" s="1"/>
  <c r="K815" i="1" s="1"/>
  <c r="K818" i="1" s="1"/>
  <c r="K821" i="1" s="1"/>
  <c r="K824" i="1" s="1"/>
  <c r="K827" i="1" s="1"/>
  <c r="K842" i="1" s="1"/>
  <c r="K845" i="1" s="1"/>
  <c r="K848" i="1" s="1"/>
  <c r="K851" i="1" s="1"/>
  <c r="K854" i="1" s="1"/>
  <c r="K857" i="1" s="1"/>
  <c r="K860" i="1" s="1"/>
  <c r="K863" i="1" s="1"/>
  <c r="K866" i="1" s="1"/>
  <c r="K869" i="1" s="1"/>
  <c r="K872" i="1" s="1"/>
  <c r="K875" i="1" s="1"/>
  <c r="K890" i="1" s="1"/>
  <c r="K893" i="1" s="1"/>
  <c r="K896" i="1" s="1"/>
  <c r="K899" i="1" s="1"/>
  <c r="K902" i="1" s="1"/>
  <c r="K905" i="1" s="1"/>
  <c r="K908" i="1" s="1"/>
  <c r="K911" i="1" s="1"/>
  <c r="K914" i="1" s="1"/>
  <c r="K917" i="1" s="1"/>
  <c r="K920" i="1" s="1"/>
  <c r="K923" i="1" s="1"/>
  <c r="K938" i="1" s="1"/>
  <c r="K941" i="1" s="1"/>
  <c r="K944" i="1" s="1"/>
  <c r="K947" i="1" s="1"/>
  <c r="K950" i="1" s="1"/>
  <c r="K953" i="1" s="1"/>
  <c r="K956" i="1" s="1"/>
  <c r="K959" i="1" s="1"/>
  <c r="K962" i="1" s="1"/>
  <c r="K965" i="1" s="1"/>
  <c r="K968" i="1" s="1"/>
  <c r="K971" i="1" s="1"/>
  <c r="K986" i="1" s="1"/>
  <c r="K989" i="1" s="1"/>
  <c r="K992" i="1" s="1"/>
  <c r="K995" i="1" s="1"/>
  <c r="K998" i="1" s="1"/>
  <c r="K1001" i="1" s="1"/>
  <c r="K1004" i="1" s="1"/>
  <c r="K1007" i="1" s="1"/>
  <c r="K1010" i="1" s="1"/>
  <c r="K1013" i="1" s="1"/>
  <c r="K1016" i="1" s="1"/>
  <c r="K1019" i="1" s="1"/>
  <c r="K1034" i="1" s="1"/>
  <c r="K1037" i="1" s="1"/>
  <c r="K1040" i="1" s="1"/>
  <c r="K1043" i="1" s="1"/>
  <c r="K1046" i="1" s="1"/>
  <c r="K1049" i="1" s="1"/>
  <c r="K1052" i="1" s="1"/>
  <c r="K1055" i="1" s="1"/>
  <c r="K1058" i="1" s="1"/>
  <c r="K1061" i="1" s="1"/>
  <c r="K1064" i="1" s="1"/>
  <c r="K1067" i="1" s="1"/>
  <c r="K1082" i="1" s="1"/>
  <c r="K1085" i="1" s="1"/>
  <c r="K1088" i="1" s="1"/>
  <c r="K1091" i="1" s="1"/>
  <c r="K1094" i="1" s="1"/>
  <c r="K1097" i="1" s="1"/>
  <c r="K1100" i="1" s="1"/>
  <c r="K1103" i="1" s="1"/>
  <c r="K1106" i="1" s="1"/>
  <c r="K1109" i="1" s="1"/>
  <c r="K1112" i="1" s="1"/>
  <c r="K1115" i="1" s="1"/>
  <c r="Q143" i="1"/>
  <c r="W143" i="1"/>
  <c r="K152" i="1"/>
  <c r="L152" i="1"/>
  <c r="N153" i="1"/>
  <c r="F154" i="1"/>
  <c r="G160" i="1"/>
  <c r="Q160" i="1"/>
  <c r="W160" i="1"/>
  <c r="N161" i="1"/>
  <c r="N164" i="1" s="1"/>
  <c r="N167" i="1" s="1"/>
  <c r="N170" i="1" s="1"/>
  <c r="N173" i="1" s="1"/>
  <c r="N176" i="1" s="1"/>
  <c r="N179" i="1" s="1"/>
  <c r="N182" i="1" s="1"/>
  <c r="N185" i="1" s="1"/>
  <c r="N188" i="1" s="1"/>
  <c r="N191" i="1" s="1"/>
  <c r="N194" i="1" s="1"/>
  <c r="N211" i="1" s="1"/>
  <c r="N214" i="1" s="1"/>
  <c r="N217" i="1" s="1"/>
  <c r="N220" i="1" s="1"/>
  <c r="N223" i="1" s="1"/>
  <c r="N226" i="1" s="1"/>
  <c r="N229" i="1" s="1"/>
  <c r="N232" i="1" s="1"/>
  <c r="N235" i="1" s="1"/>
  <c r="N238" i="1" s="1"/>
  <c r="N241" i="1" s="1"/>
  <c r="N244" i="1" s="1"/>
  <c r="N261" i="1" s="1"/>
  <c r="N264" i="1" s="1"/>
  <c r="N267" i="1" s="1"/>
  <c r="N270" i="1" s="1"/>
  <c r="N273" i="1" s="1"/>
  <c r="G163" i="1"/>
  <c r="Q163" i="1"/>
  <c r="W163" i="1"/>
  <c r="G166" i="1"/>
  <c r="Q166" i="1"/>
  <c r="O167" i="1"/>
  <c r="O170" i="1" s="1"/>
  <c r="O173" i="1" s="1"/>
  <c r="O176" i="1" s="1"/>
  <c r="O179" i="1" s="1"/>
  <c r="O182" i="1" s="1"/>
  <c r="O185" i="1" s="1"/>
  <c r="O188" i="1" s="1"/>
  <c r="O191" i="1" s="1"/>
  <c r="O194" i="1" s="1"/>
  <c r="O211" i="1" s="1"/>
  <c r="O214" i="1" s="1"/>
  <c r="O217" i="1" s="1"/>
  <c r="O220" i="1" s="1"/>
  <c r="O223" i="1" s="1"/>
  <c r="O226" i="1" s="1"/>
  <c r="O229" i="1" s="1"/>
  <c r="O232" i="1" s="1"/>
  <c r="O235" i="1" s="1"/>
  <c r="O238" i="1" s="1"/>
  <c r="O241" i="1" s="1"/>
  <c r="O244" i="1" s="1"/>
  <c r="O261" i="1" s="1"/>
  <c r="O264" i="1" s="1"/>
  <c r="O267" i="1" s="1"/>
  <c r="O270" i="1" s="1"/>
  <c r="O273" i="1" s="1"/>
  <c r="O276" i="1" s="1"/>
  <c r="O279" i="1" s="1"/>
  <c r="O282" i="1" s="1"/>
  <c r="O285" i="1" s="1"/>
  <c r="O288" i="1" s="1"/>
  <c r="O291" i="1" s="1"/>
  <c r="O294" i="1" s="1"/>
  <c r="O311" i="1" s="1"/>
  <c r="O314" i="1" s="1"/>
  <c r="O317" i="1" s="1"/>
  <c r="G169" i="1"/>
  <c r="Q169" i="1"/>
  <c r="W169" i="1"/>
  <c r="B170" i="1"/>
  <c r="B173" i="1" s="1"/>
  <c r="B176" i="1" s="1"/>
  <c r="B179" i="1" s="1"/>
  <c r="B182" i="1" s="1"/>
  <c r="B185" i="1" s="1"/>
  <c r="B188" i="1" s="1"/>
  <c r="B191" i="1" s="1"/>
  <c r="B194" i="1" s="1"/>
  <c r="B211" i="1" s="1"/>
  <c r="B214" i="1" s="1"/>
  <c r="B217" i="1" s="1"/>
  <c r="B220" i="1" s="1"/>
  <c r="B223" i="1" s="1"/>
  <c r="B226" i="1" s="1"/>
  <c r="B229" i="1" s="1"/>
  <c r="B232" i="1" s="1"/>
  <c r="B235" i="1" s="1"/>
  <c r="B238" i="1" s="1"/>
  <c r="B241" i="1" s="1"/>
  <c r="B244" i="1" s="1"/>
  <c r="B261" i="1" s="1"/>
  <c r="B264" i="1" s="1"/>
  <c r="B267" i="1" s="1"/>
  <c r="B270" i="1" s="1"/>
  <c r="B273" i="1" s="1"/>
  <c r="B276" i="1" s="1"/>
  <c r="B279" i="1" s="1"/>
  <c r="B282" i="1" s="1"/>
  <c r="B285" i="1" s="1"/>
  <c r="B288" i="1" s="1"/>
  <c r="B291" i="1" s="1"/>
  <c r="B294" i="1" s="1"/>
  <c r="B311" i="1" s="1"/>
  <c r="B314" i="1" s="1"/>
  <c r="B317" i="1" s="1"/>
  <c r="B320" i="1" s="1"/>
  <c r="B323" i="1" s="1"/>
  <c r="B326" i="1" s="1"/>
  <c r="B329" i="1" s="1"/>
  <c r="B332" i="1" s="1"/>
  <c r="B335" i="1" s="1"/>
  <c r="B338" i="1" s="1"/>
  <c r="B341" i="1" s="1"/>
  <c r="B344" i="1" s="1"/>
  <c r="B362" i="1" s="1"/>
  <c r="B365" i="1" s="1"/>
  <c r="B368" i="1" s="1"/>
  <c r="B371" i="1" s="1"/>
  <c r="B374" i="1" s="1"/>
  <c r="G172" i="1"/>
  <c r="W172" i="1" s="1"/>
  <c r="Q172" i="1"/>
  <c r="G175" i="1"/>
  <c r="W175" i="1" s="1"/>
  <c r="Q175" i="1"/>
  <c r="R176" i="1"/>
  <c r="R179" i="1" s="1"/>
  <c r="R182" i="1" s="1"/>
  <c r="G178" i="1"/>
  <c r="Q178" i="1"/>
  <c r="W178" i="1" s="1"/>
  <c r="D179" i="1"/>
  <c r="D182" i="1" s="1"/>
  <c r="D185" i="1" s="1"/>
  <c r="D188" i="1" s="1"/>
  <c r="D191" i="1" s="1"/>
  <c r="D194" i="1" s="1"/>
  <c r="D211" i="1" s="1"/>
  <c r="D214" i="1" s="1"/>
  <c r="D217" i="1" s="1"/>
  <c r="D220" i="1" s="1"/>
  <c r="D223" i="1" s="1"/>
  <c r="D226" i="1" s="1"/>
  <c r="D229" i="1" s="1"/>
  <c r="D232" i="1" s="1"/>
  <c r="D235" i="1" s="1"/>
  <c r="D238" i="1" s="1"/>
  <c r="D241" i="1" s="1"/>
  <c r="D244" i="1" s="1"/>
  <c r="D261" i="1" s="1"/>
  <c r="D264" i="1" s="1"/>
  <c r="D267" i="1" s="1"/>
  <c r="D270" i="1" s="1"/>
  <c r="D273" i="1" s="1"/>
  <c r="D276" i="1" s="1"/>
  <c r="D279" i="1" s="1"/>
  <c r="D282" i="1" s="1"/>
  <c r="D285" i="1" s="1"/>
  <c r="D288" i="1" s="1"/>
  <c r="D291" i="1" s="1"/>
  <c r="D294" i="1" s="1"/>
  <c r="D311" i="1" s="1"/>
  <c r="D314" i="1" s="1"/>
  <c r="D317" i="1" s="1"/>
  <c r="D320" i="1" s="1"/>
  <c r="D323" i="1" s="1"/>
  <c r="D326" i="1" s="1"/>
  <c r="D329" i="1" s="1"/>
  <c r="D332" i="1" s="1"/>
  <c r="D335" i="1" s="1"/>
  <c r="D338" i="1" s="1"/>
  <c r="D341" i="1" s="1"/>
  <c r="D344" i="1" s="1"/>
  <c r="D362" i="1" s="1"/>
  <c r="D365" i="1" s="1"/>
  <c r="D368" i="1" s="1"/>
  <c r="D371" i="1" s="1"/>
  <c r="D374" i="1" s="1"/>
  <c r="D377" i="1" s="1"/>
  <c r="D380" i="1" s="1"/>
  <c r="D383" i="1" s="1"/>
  <c r="D386" i="1" s="1"/>
  <c r="D389" i="1" s="1"/>
  <c r="D392" i="1" s="1"/>
  <c r="D395" i="1" s="1"/>
  <c r="D410" i="1" s="1"/>
  <c r="D413" i="1" s="1"/>
  <c r="D416" i="1" s="1"/>
  <c r="D419" i="1" s="1"/>
  <c r="D422" i="1" s="1"/>
  <c r="D425" i="1" s="1"/>
  <c r="D428" i="1" s="1"/>
  <c r="D431" i="1" s="1"/>
  <c r="D434" i="1" s="1"/>
  <c r="D437" i="1" s="1"/>
  <c r="D440" i="1" s="1"/>
  <c r="D443" i="1" s="1"/>
  <c r="D458" i="1" s="1"/>
  <c r="D461" i="1" s="1"/>
  <c r="D464" i="1" s="1"/>
  <c r="D467" i="1" s="1"/>
  <c r="D470" i="1" s="1"/>
  <c r="D473" i="1" s="1"/>
  <c r="D476" i="1" s="1"/>
  <c r="D479" i="1" s="1"/>
  <c r="D482" i="1" s="1"/>
  <c r="D485" i="1" s="1"/>
  <c r="D488" i="1" s="1"/>
  <c r="D491" i="1" s="1"/>
  <c r="D506" i="1" s="1"/>
  <c r="D509" i="1" s="1"/>
  <c r="D512" i="1" s="1"/>
  <c r="D515" i="1" s="1"/>
  <c r="D518" i="1" s="1"/>
  <c r="D521" i="1" s="1"/>
  <c r="D524" i="1" s="1"/>
  <c r="D527" i="1" s="1"/>
  <c r="D530" i="1" s="1"/>
  <c r="D533" i="1" s="1"/>
  <c r="D536" i="1" s="1"/>
  <c r="D539" i="1" s="1"/>
  <c r="D554" i="1" s="1"/>
  <c r="D557" i="1" s="1"/>
  <c r="D560" i="1" s="1"/>
  <c r="D563" i="1" s="1"/>
  <c r="D566" i="1" s="1"/>
  <c r="D569" i="1" s="1"/>
  <c r="D572" i="1" s="1"/>
  <c r="D575" i="1" s="1"/>
  <c r="D578" i="1" s="1"/>
  <c r="D581" i="1" s="1"/>
  <c r="D584" i="1" s="1"/>
  <c r="D587" i="1" s="1"/>
  <c r="D602" i="1" s="1"/>
  <c r="D605" i="1" s="1"/>
  <c r="D608" i="1" s="1"/>
  <c r="D611" i="1" s="1"/>
  <c r="D614" i="1" s="1"/>
  <c r="D617" i="1" s="1"/>
  <c r="D620" i="1" s="1"/>
  <c r="D623" i="1" s="1"/>
  <c r="D626" i="1" s="1"/>
  <c r="D629" i="1" s="1"/>
  <c r="D632" i="1" s="1"/>
  <c r="D635" i="1" s="1"/>
  <c r="D650" i="1" s="1"/>
  <c r="D653" i="1" s="1"/>
  <c r="D656" i="1" s="1"/>
  <c r="D659" i="1" s="1"/>
  <c r="D662" i="1" s="1"/>
  <c r="D665" i="1" s="1"/>
  <c r="D668" i="1" s="1"/>
  <c r="D671" i="1" s="1"/>
  <c r="D674" i="1" s="1"/>
  <c r="D677" i="1" s="1"/>
  <c r="D680" i="1" s="1"/>
  <c r="D683" i="1" s="1"/>
  <c r="H179" i="1"/>
  <c r="H182" i="1" s="1"/>
  <c r="H185" i="1" s="1"/>
  <c r="H188" i="1" s="1"/>
  <c r="H191" i="1" s="1"/>
  <c r="H194" i="1" s="1"/>
  <c r="H211" i="1" s="1"/>
  <c r="H214" i="1" s="1"/>
  <c r="H217" i="1" s="1"/>
  <c r="H220" i="1" s="1"/>
  <c r="H223" i="1" s="1"/>
  <c r="H226" i="1" s="1"/>
  <c r="H229" i="1" s="1"/>
  <c r="H232" i="1" s="1"/>
  <c r="H235" i="1" s="1"/>
  <c r="H238" i="1" s="1"/>
  <c r="H241" i="1" s="1"/>
  <c r="H244" i="1" s="1"/>
  <c r="H261" i="1" s="1"/>
  <c r="H264" i="1" s="1"/>
  <c r="H267" i="1" s="1"/>
  <c r="H270" i="1" s="1"/>
  <c r="H273" i="1" s="1"/>
  <c r="H276" i="1" s="1"/>
  <c r="H279" i="1" s="1"/>
  <c r="H282" i="1" s="1"/>
  <c r="H285" i="1" s="1"/>
  <c r="H288" i="1" s="1"/>
  <c r="H291" i="1" s="1"/>
  <c r="H294" i="1" s="1"/>
  <c r="H311" i="1" s="1"/>
  <c r="H314" i="1" s="1"/>
  <c r="H317" i="1" s="1"/>
  <c r="H320" i="1" s="1"/>
  <c r="H323" i="1" s="1"/>
  <c r="H326" i="1" s="1"/>
  <c r="H329" i="1" s="1"/>
  <c r="H332" i="1" s="1"/>
  <c r="H335" i="1" s="1"/>
  <c r="H338" i="1" s="1"/>
  <c r="H341" i="1" s="1"/>
  <c r="H344" i="1" s="1"/>
  <c r="H362" i="1" s="1"/>
  <c r="H365" i="1" s="1"/>
  <c r="H368" i="1" s="1"/>
  <c r="H371" i="1" s="1"/>
  <c r="H374" i="1" s="1"/>
  <c r="H377" i="1" s="1"/>
  <c r="H380" i="1" s="1"/>
  <c r="H383" i="1" s="1"/>
  <c r="H386" i="1" s="1"/>
  <c r="H389" i="1" s="1"/>
  <c r="H392" i="1" s="1"/>
  <c r="H395" i="1" s="1"/>
  <c r="H410" i="1" s="1"/>
  <c r="H413" i="1" s="1"/>
  <c r="H416" i="1" s="1"/>
  <c r="H419" i="1" s="1"/>
  <c r="H422" i="1" s="1"/>
  <c r="H425" i="1" s="1"/>
  <c r="H428" i="1" s="1"/>
  <c r="H431" i="1" s="1"/>
  <c r="H434" i="1" s="1"/>
  <c r="H437" i="1" s="1"/>
  <c r="H440" i="1" s="1"/>
  <c r="H443" i="1" s="1"/>
  <c r="H458" i="1" s="1"/>
  <c r="H461" i="1" s="1"/>
  <c r="H464" i="1" s="1"/>
  <c r="H467" i="1" s="1"/>
  <c r="H470" i="1" s="1"/>
  <c r="H473" i="1" s="1"/>
  <c r="H476" i="1" s="1"/>
  <c r="H479" i="1" s="1"/>
  <c r="H482" i="1" s="1"/>
  <c r="H485" i="1" s="1"/>
  <c r="H488" i="1" s="1"/>
  <c r="H491" i="1" s="1"/>
  <c r="H506" i="1" s="1"/>
  <c r="H509" i="1" s="1"/>
  <c r="H512" i="1" s="1"/>
  <c r="H515" i="1" s="1"/>
  <c r="H518" i="1" s="1"/>
  <c r="H521" i="1" s="1"/>
  <c r="H524" i="1" s="1"/>
  <c r="H527" i="1" s="1"/>
  <c r="H530" i="1" s="1"/>
  <c r="H533" i="1" s="1"/>
  <c r="H536" i="1" s="1"/>
  <c r="H539" i="1" s="1"/>
  <c r="H554" i="1" s="1"/>
  <c r="H557" i="1" s="1"/>
  <c r="H560" i="1" s="1"/>
  <c r="H563" i="1" s="1"/>
  <c r="H566" i="1" s="1"/>
  <c r="H569" i="1" s="1"/>
  <c r="H572" i="1" s="1"/>
  <c r="H575" i="1" s="1"/>
  <c r="H578" i="1" s="1"/>
  <c r="H581" i="1" s="1"/>
  <c r="H584" i="1" s="1"/>
  <c r="H587" i="1" s="1"/>
  <c r="H602" i="1" s="1"/>
  <c r="H605" i="1" s="1"/>
  <c r="H608" i="1" s="1"/>
  <c r="H611" i="1" s="1"/>
  <c r="H614" i="1" s="1"/>
  <c r="H617" i="1" s="1"/>
  <c r="H620" i="1" s="1"/>
  <c r="H623" i="1" s="1"/>
  <c r="H626" i="1" s="1"/>
  <c r="H629" i="1" s="1"/>
  <c r="H632" i="1" s="1"/>
  <c r="H635" i="1" s="1"/>
  <c r="H650" i="1" s="1"/>
  <c r="H653" i="1" s="1"/>
  <c r="H656" i="1" s="1"/>
  <c r="H659" i="1" s="1"/>
  <c r="H662" i="1" s="1"/>
  <c r="H665" i="1" s="1"/>
  <c r="H668" i="1" s="1"/>
  <c r="H671" i="1" s="1"/>
  <c r="H674" i="1" s="1"/>
  <c r="H677" i="1" s="1"/>
  <c r="H680" i="1" s="1"/>
  <c r="H683" i="1" s="1"/>
  <c r="H698" i="1" s="1"/>
  <c r="H701" i="1" s="1"/>
  <c r="H704" i="1" s="1"/>
  <c r="H707" i="1" s="1"/>
  <c r="H710" i="1" s="1"/>
  <c r="H713" i="1" s="1"/>
  <c r="H716" i="1" s="1"/>
  <c r="H719" i="1" s="1"/>
  <c r="H722" i="1" s="1"/>
  <c r="H725" i="1" s="1"/>
  <c r="H728" i="1" s="1"/>
  <c r="H731" i="1" s="1"/>
  <c r="H746" i="1" s="1"/>
  <c r="H749" i="1" s="1"/>
  <c r="H752" i="1" s="1"/>
  <c r="H755" i="1" s="1"/>
  <c r="H758" i="1" s="1"/>
  <c r="H761" i="1" s="1"/>
  <c r="H764" i="1" s="1"/>
  <c r="H767" i="1" s="1"/>
  <c r="H770" i="1" s="1"/>
  <c r="H773" i="1" s="1"/>
  <c r="H776" i="1" s="1"/>
  <c r="H779" i="1" s="1"/>
  <c r="H794" i="1" s="1"/>
  <c r="H797" i="1" s="1"/>
  <c r="H800" i="1" s="1"/>
  <c r="H803" i="1" s="1"/>
  <c r="H806" i="1" s="1"/>
  <c r="H809" i="1" s="1"/>
  <c r="H812" i="1" s="1"/>
  <c r="H815" i="1" s="1"/>
  <c r="H818" i="1" s="1"/>
  <c r="H821" i="1" s="1"/>
  <c r="H824" i="1" s="1"/>
  <c r="H827" i="1" s="1"/>
  <c r="H842" i="1" s="1"/>
  <c r="H845" i="1" s="1"/>
  <c r="H848" i="1" s="1"/>
  <c r="H851" i="1" s="1"/>
  <c r="H854" i="1" s="1"/>
  <c r="H857" i="1" s="1"/>
  <c r="H860" i="1" s="1"/>
  <c r="H863" i="1" s="1"/>
  <c r="H866" i="1" s="1"/>
  <c r="H869" i="1" s="1"/>
  <c r="H872" i="1" s="1"/>
  <c r="H875" i="1" s="1"/>
  <c r="H890" i="1" s="1"/>
  <c r="H893" i="1" s="1"/>
  <c r="H896" i="1" s="1"/>
  <c r="H899" i="1" s="1"/>
  <c r="H902" i="1" s="1"/>
  <c r="H905" i="1" s="1"/>
  <c r="H908" i="1" s="1"/>
  <c r="H911" i="1" s="1"/>
  <c r="H914" i="1" s="1"/>
  <c r="H917" i="1" s="1"/>
  <c r="H920" i="1" s="1"/>
  <c r="H923" i="1" s="1"/>
  <c r="H938" i="1" s="1"/>
  <c r="H941" i="1" s="1"/>
  <c r="H944" i="1" s="1"/>
  <c r="H947" i="1" s="1"/>
  <c r="H950" i="1" s="1"/>
  <c r="H953" i="1" s="1"/>
  <c r="H956" i="1" s="1"/>
  <c r="H959" i="1" s="1"/>
  <c r="H962" i="1" s="1"/>
  <c r="H965" i="1" s="1"/>
  <c r="H968" i="1" s="1"/>
  <c r="H971" i="1" s="1"/>
  <c r="G181" i="1"/>
  <c r="Q181" i="1"/>
  <c r="W181" i="1" s="1"/>
  <c r="G184" i="1"/>
  <c r="Q184" i="1"/>
  <c r="W184" i="1"/>
  <c r="C185" i="1"/>
  <c r="C188" i="1" s="1"/>
  <c r="C191" i="1" s="1"/>
  <c r="C194" i="1" s="1"/>
  <c r="C211" i="1" s="1"/>
  <c r="C214" i="1" s="1"/>
  <c r="C217" i="1" s="1"/>
  <c r="C220" i="1" s="1"/>
  <c r="C223" i="1" s="1"/>
  <c r="C226" i="1" s="1"/>
  <c r="C229" i="1" s="1"/>
  <c r="C232" i="1" s="1"/>
  <c r="C235" i="1" s="1"/>
  <c r="C238" i="1" s="1"/>
  <c r="C241" i="1" s="1"/>
  <c r="C244" i="1" s="1"/>
  <c r="C261" i="1" s="1"/>
  <c r="C264" i="1" s="1"/>
  <c r="C267" i="1" s="1"/>
  <c r="C270" i="1" s="1"/>
  <c r="C273" i="1" s="1"/>
  <c r="C276" i="1" s="1"/>
  <c r="C279" i="1" s="1"/>
  <c r="C282" i="1" s="1"/>
  <c r="C285" i="1" s="1"/>
  <c r="C288" i="1" s="1"/>
  <c r="C291" i="1" s="1"/>
  <c r="C294" i="1" s="1"/>
  <c r="C311" i="1" s="1"/>
  <c r="C314" i="1" s="1"/>
  <c r="C317" i="1" s="1"/>
  <c r="C320" i="1" s="1"/>
  <c r="C323" i="1" s="1"/>
  <c r="C326" i="1" s="1"/>
  <c r="C329" i="1" s="1"/>
  <c r="C332" i="1" s="1"/>
  <c r="C335" i="1" s="1"/>
  <c r="C338" i="1" s="1"/>
  <c r="C341" i="1" s="1"/>
  <c r="C344" i="1" s="1"/>
  <c r="C362" i="1" s="1"/>
  <c r="C365" i="1" s="1"/>
  <c r="C368" i="1" s="1"/>
  <c r="C371" i="1" s="1"/>
  <c r="C374" i="1" s="1"/>
  <c r="C377" i="1" s="1"/>
  <c r="C380" i="1" s="1"/>
  <c r="C383" i="1" s="1"/>
  <c r="R185" i="1"/>
  <c r="G187" i="1"/>
  <c r="Q187" i="1"/>
  <c r="W187" i="1"/>
  <c r="F188" i="1"/>
  <c r="F191" i="1" s="1"/>
  <c r="F194" i="1" s="1"/>
  <c r="F211" i="1" s="1"/>
  <c r="F214" i="1" s="1"/>
  <c r="F217" i="1" s="1"/>
  <c r="F220" i="1" s="1"/>
  <c r="F223" i="1" s="1"/>
  <c r="F226" i="1" s="1"/>
  <c r="F229" i="1" s="1"/>
  <c r="F232" i="1" s="1"/>
  <c r="F235" i="1" s="1"/>
  <c r="F238" i="1" s="1"/>
  <c r="F241" i="1" s="1"/>
  <c r="F244" i="1" s="1"/>
  <c r="F261" i="1" s="1"/>
  <c r="F264" i="1" s="1"/>
  <c r="F267" i="1" s="1"/>
  <c r="F270" i="1" s="1"/>
  <c r="F273" i="1" s="1"/>
  <c r="F276" i="1" s="1"/>
  <c r="F279" i="1" s="1"/>
  <c r="F282" i="1" s="1"/>
  <c r="F285" i="1" s="1"/>
  <c r="F288" i="1" s="1"/>
  <c r="F291" i="1" s="1"/>
  <c r="F294" i="1" s="1"/>
  <c r="F311" i="1" s="1"/>
  <c r="F314" i="1" s="1"/>
  <c r="F317" i="1" s="1"/>
  <c r="F320" i="1" s="1"/>
  <c r="F323" i="1" s="1"/>
  <c r="F326" i="1" s="1"/>
  <c r="F329" i="1" s="1"/>
  <c r="F332" i="1" s="1"/>
  <c r="F335" i="1" s="1"/>
  <c r="F338" i="1" s="1"/>
  <c r="F341" i="1" s="1"/>
  <c r="F344" i="1" s="1"/>
  <c r="F362" i="1" s="1"/>
  <c r="F365" i="1" s="1"/>
  <c r="F368" i="1" s="1"/>
  <c r="F371" i="1" s="1"/>
  <c r="F374" i="1" s="1"/>
  <c r="F377" i="1" s="1"/>
  <c r="F380" i="1" s="1"/>
  <c r="F383" i="1" s="1"/>
  <c r="F386" i="1" s="1"/>
  <c r="F389" i="1" s="1"/>
  <c r="F392" i="1" s="1"/>
  <c r="F395" i="1" s="1"/>
  <c r="F410" i="1" s="1"/>
  <c r="F413" i="1" s="1"/>
  <c r="F416" i="1" s="1"/>
  <c r="F419" i="1" s="1"/>
  <c r="F422" i="1" s="1"/>
  <c r="F425" i="1" s="1"/>
  <c r="F428" i="1" s="1"/>
  <c r="F431" i="1" s="1"/>
  <c r="F434" i="1" s="1"/>
  <c r="F437" i="1" s="1"/>
  <c r="F440" i="1" s="1"/>
  <c r="F443" i="1" s="1"/>
  <c r="F458" i="1" s="1"/>
  <c r="F461" i="1" s="1"/>
  <c r="F464" i="1" s="1"/>
  <c r="F467" i="1" s="1"/>
  <c r="F470" i="1" s="1"/>
  <c r="F473" i="1" s="1"/>
  <c r="F476" i="1" s="1"/>
  <c r="F479" i="1" s="1"/>
  <c r="F482" i="1" s="1"/>
  <c r="F485" i="1" s="1"/>
  <c r="F488" i="1" s="1"/>
  <c r="F491" i="1" s="1"/>
  <c r="F506" i="1" s="1"/>
  <c r="F509" i="1" s="1"/>
  <c r="F512" i="1" s="1"/>
  <c r="F515" i="1" s="1"/>
  <c r="F518" i="1" s="1"/>
  <c r="F521" i="1" s="1"/>
  <c r="F524" i="1" s="1"/>
  <c r="F527" i="1" s="1"/>
  <c r="F530" i="1" s="1"/>
  <c r="F533" i="1" s="1"/>
  <c r="F536" i="1" s="1"/>
  <c r="F539" i="1" s="1"/>
  <c r="F554" i="1" s="1"/>
  <c r="F557" i="1" s="1"/>
  <c r="F560" i="1" s="1"/>
  <c r="F563" i="1" s="1"/>
  <c r="F566" i="1" s="1"/>
  <c r="F569" i="1" s="1"/>
  <c r="F572" i="1" s="1"/>
  <c r="F575" i="1" s="1"/>
  <c r="F578" i="1" s="1"/>
  <c r="F581" i="1" s="1"/>
  <c r="F584" i="1" s="1"/>
  <c r="F587" i="1" s="1"/>
  <c r="F602" i="1" s="1"/>
  <c r="F605" i="1" s="1"/>
  <c r="F608" i="1" s="1"/>
  <c r="F611" i="1" s="1"/>
  <c r="F614" i="1" s="1"/>
  <c r="F617" i="1" s="1"/>
  <c r="F620" i="1" s="1"/>
  <c r="F623" i="1" s="1"/>
  <c r="F626" i="1" s="1"/>
  <c r="F629" i="1" s="1"/>
  <c r="F632" i="1" s="1"/>
  <c r="F635" i="1" s="1"/>
  <c r="F650" i="1" s="1"/>
  <c r="F653" i="1" s="1"/>
  <c r="F656" i="1" s="1"/>
  <c r="F659" i="1" s="1"/>
  <c r="F662" i="1" s="1"/>
  <c r="F665" i="1" s="1"/>
  <c r="F668" i="1" s="1"/>
  <c r="F671" i="1" s="1"/>
  <c r="F674" i="1" s="1"/>
  <c r="F677" i="1" s="1"/>
  <c r="F680" i="1" s="1"/>
  <c r="F683" i="1" s="1"/>
  <c r="R188" i="1"/>
  <c r="R191" i="1" s="1"/>
  <c r="R194" i="1" s="1"/>
  <c r="R211" i="1" s="1"/>
  <c r="R214" i="1" s="1"/>
  <c r="R217" i="1" s="1"/>
  <c r="R220" i="1" s="1"/>
  <c r="R223" i="1" s="1"/>
  <c r="R226" i="1" s="1"/>
  <c r="G190" i="1"/>
  <c r="Q190" i="1"/>
  <c r="W190" i="1" s="1"/>
  <c r="M191" i="1"/>
  <c r="M194" i="1" s="1"/>
  <c r="M211" i="1" s="1"/>
  <c r="M214" i="1" s="1"/>
  <c r="M217" i="1" s="1"/>
  <c r="M220" i="1" s="1"/>
  <c r="M223" i="1" s="1"/>
  <c r="M226" i="1" s="1"/>
  <c r="M229" i="1" s="1"/>
  <c r="M232" i="1" s="1"/>
  <c r="M235" i="1" s="1"/>
  <c r="M238" i="1" s="1"/>
  <c r="M241" i="1" s="1"/>
  <c r="M244" i="1" s="1"/>
  <c r="M261" i="1" s="1"/>
  <c r="M264" i="1" s="1"/>
  <c r="G193" i="1"/>
  <c r="W193" i="1" s="1"/>
  <c r="Q193" i="1"/>
  <c r="I194" i="1"/>
  <c r="I211" i="1" s="1"/>
  <c r="I214" i="1" s="1"/>
  <c r="I217" i="1" s="1"/>
  <c r="I220" i="1" s="1"/>
  <c r="I223" i="1" s="1"/>
  <c r="I226" i="1" s="1"/>
  <c r="I229" i="1" s="1"/>
  <c r="I232" i="1" s="1"/>
  <c r="I235" i="1" s="1"/>
  <c r="I238" i="1" s="1"/>
  <c r="I241" i="1" s="1"/>
  <c r="I244" i="1" s="1"/>
  <c r="I261" i="1" s="1"/>
  <c r="I264" i="1" s="1"/>
  <c r="I267" i="1" s="1"/>
  <c r="I270" i="1" s="1"/>
  <c r="I273" i="1" s="1"/>
  <c r="I276" i="1" s="1"/>
  <c r="I279" i="1" s="1"/>
  <c r="I282" i="1" s="1"/>
  <c r="I285" i="1" s="1"/>
  <c r="I288" i="1" s="1"/>
  <c r="I291" i="1" s="1"/>
  <c r="I294" i="1" s="1"/>
  <c r="I311" i="1" s="1"/>
  <c r="I314" i="1" s="1"/>
  <c r="I317" i="1" s="1"/>
  <c r="I320" i="1" s="1"/>
  <c r="I323" i="1" s="1"/>
  <c r="I326" i="1" s="1"/>
  <c r="I329" i="1" s="1"/>
  <c r="I332" i="1" s="1"/>
  <c r="I335" i="1" s="1"/>
  <c r="K202" i="1"/>
  <c r="L202" i="1"/>
  <c r="G210" i="1"/>
  <c r="Q210" i="1"/>
  <c r="W210" i="1" s="1"/>
  <c r="G213" i="1"/>
  <c r="Q213" i="1"/>
  <c r="E214" i="1"/>
  <c r="E217" i="1" s="1"/>
  <c r="E220" i="1" s="1"/>
  <c r="E223" i="1" s="1"/>
  <c r="E226" i="1" s="1"/>
  <c r="E229" i="1" s="1"/>
  <c r="E232" i="1" s="1"/>
  <c r="E235" i="1" s="1"/>
  <c r="E238" i="1" s="1"/>
  <c r="E241" i="1" s="1"/>
  <c r="E244" i="1" s="1"/>
  <c r="E261" i="1" s="1"/>
  <c r="E264" i="1" s="1"/>
  <c r="E267" i="1" s="1"/>
  <c r="E270" i="1" s="1"/>
  <c r="E273" i="1" s="1"/>
  <c r="E276" i="1" s="1"/>
  <c r="E279" i="1" s="1"/>
  <c r="E282" i="1" s="1"/>
  <c r="E285" i="1" s="1"/>
  <c r="E288" i="1" s="1"/>
  <c r="E291" i="1" s="1"/>
  <c r="E294" i="1" s="1"/>
  <c r="E311" i="1" s="1"/>
  <c r="E314" i="1" s="1"/>
  <c r="E317" i="1" s="1"/>
  <c r="E320" i="1" s="1"/>
  <c r="E323" i="1" s="1"/>
  <c r="E326" i="1" s="1"/>
  <c r="E329" i="1" s="1"/>
  <c r="E332" i="1" s="1"/>
  <c r="E335" i="1" s="1"/>
  <c r="E338" i="1" s="1"/>
  <c r="E341" i="1" s="1"/>
  <c r="E344" i="1" s="1"/>
  <c r="E362" i="1" s="1"/>
  <c r="E365" i="1" s="1"/>
  <c r="E368" i="1" s="1"/>
  <c r="E371" i="1" s="1"/>
  <c r="E374" i="1" s="1"/>
  <c r="E377" i="1" s="1"/>
  <c r="E380" i="1" s="1"/>
  <c r="E383" i="1" s="1"/>
  <c r="E386" i="1" s="1"/>
  <c r="E389" i="1" s="1"/>
  <c r="E392" i="1" s="1"/>
  <c r="E395" i="1" s="1"/>
  <c r="E410" i="1" s="1"/>
  <c r="E413" i="1" s="1"/>
  <c r="E416" i="1" s="1"/>
  <c r="E419" i="1" s="1"/>
  <c r="E422" i="1" s="1"/>
  <c r="E425" i="1" s="1"/>
  <c r="E428" i="1" s="1"/>
  <c r="E431" i="1" s="1"/>
  <c r="E434" i="1" s="1"/>
  <c r="E437" i="1" s="1"/>
  <c r="E440" i="1" s="1"/>
  <c r="E443" i="1" s="1"/>
  <c r="E458" i="1" s="1"/>
  <c r="E461" i="1" s="1"/>
  <c r="E464" i="1" s="1"/>
  <c r="E467" i="1" s="1"/>
  <c r="E470" i="1" s="1"/>
  <c r="E473" i="1" s="1"/>
  <c r="E476" i="1" s="1"/>
  <c r="E479" i="1" s="1"/>
  <c r="E482" i="1" s="1"/>
  <c r="E485" i="1" s="1"/>
  <c r="E488" i="1" s="1"/>
  <c r="E491" i="1" s="1"/>
  <c r="G216" i="1"/>
  <c r="Q216" i="1"/>
  <c r="W216" i="1" s="1"/>
  <c r="G219" i="1"/>
  <c r="Q219" i="1"/>
  <c r="P220" i="1"/>
  <c r="P223" i="1" s="1"/>
  <c r="P226" i="1" s="1"/>
  <c r="P229" i="1" s="1"/>
  <c r="P232" i="1" s="1"/>
  <c r="P235" i="1" s="1"/>
  <c r="P238" i="1" s="1"/>
  <c r="P241" i="1" s="1"/>
  <c r="P244" i="1" s="1"/>
  <c r="P261" i="1" s="1"/>
  <c r="P264" i="1" s="1"/>
  <c r="P267" i="1" s="1"/>
  <c r="P270" i="1" s="1"/>
  <c r="P273" i="1" s="1"/>
  <c r="P276" i="1" s="1"/>
  <c r="P279" i="1" s="1"/>
  <c r="P282" i="1" s="1"/>
  <c r="P285" i="1" s="1"/>
  <c r="P288" i="1" s="1"/>
  <c r="P291" i="1" s="1"/>
  <c r="P294" i="1" s="1"/>
  <c r="P311" i="1" s="1"/>
  <c r="G222" i="1"/>
  <c r="Q222" i="1"/>
  <c r="W222" i="1" s="1"/>
  <c r="L223" i="1"/>
  <c r="L226" i="1" s="1"/>
  <c r="L229" i="1" s="1"/>
  <c r="L232" i="1" s="1"/>
  <c r="C225" i="1"/>
  <c r="G225" i="1" s="1"/>
  <c r="Q225" i="1"/>
  <c r="W225" i="1" s="1"/>
  <c r="G228" i="1"/>
  <c r="Q228" i="1"/>
  <c r="W228" i="1" s="1"/>
  <c r="G231" i="1"/>
  <c r="Q231" i="1"/>
  <c r="W231" i="1" s="1"/>
  <c r="G234" i="1"/>
  <c r="Q234" i="1"/>
  <c r="W234" i="1" s="1"/>
  <c r="L235" i="1"/>
  <c r="L238" i="1" s="1"/>
  <c r="L241" i="1" s="1"/>
  <c r="L244" i="1" s="1"/>
  <c r="L261" i="1" s="1"/>
  <c r="L264" i="1" s="1"/>
  <c r="L267" i="1" s="1"/>
  <c r="L270" i="1" s="1"/>
  <c r="L273" i="1" s="1"/>
  <c r="L276" i="1" s="1"/>
  <c r="G237" i="1"/>
  <c r="Q237" i="1"/>
  <c r="W237" i="1"/>
  <c r="G240" i="1"/>
  <c r="Q240" i="1"/>
  <c r="W240" i="1" s="1"/>
  <c r="G243" i="1"/>
  <c r="Q243" i="1"/>
  <c r="W243" i="1"/>
  <c r="J254" i="1"/>
  <c r="W254" i="1"/>
  <c r="X254" i="1"/>
  <c r="G260" i="1"/>
  <c r="Q260" i="1"/>
  <c r="W260" i="1"/>
  <c r="Q263" i="1"/>
  <c r="W263" i="1"/>
  <c r="G266" i="1"/>
  <c r="Q266" i="1"/>
  <c r="W266" i="1" s="1"/>
  <c r="M267" i="1"/>
  <c r="M270" i="1" s="1"/>
  <c r="M273" i="1" s="1"/>
  <c r="M276" i="1" s="1"/>
  <c r="M279" i="1" s="1"/>
  <c r="M282" i="1" s="1"/>
  <c r="M285" i="1" s="1"/>
  <c r="M288" i="1" s="1"/>
  <c r="M291" i="1" s="1"/>
  <c r="M294" i="1" s="1"/>
  <c r="M311" i="1" s="1"/>
  <c r="M314" i="1" s="1"/>
  <c r="M317" i="1" s="1"/>
  <c r="M320" i="1" s="1"/>
  <c r="G269" i="1"/>
  <c r="Q269" i="1"/>
  <c r="W269" i="1"/>
  <c r="G272" i="1"/>
  <c r="Q272" i="1"/>
  <c r="W272" i="1"/>
  <c r="G275" i="1"/>
  <c r="Q275" i="1"/>
  <c r="W275" i="1"/>
  <c r="J276" i="1"/>
  <c r="J279" i="1" s="1"/>
  <c r="J282" i="1" s="1"/>
  <c r="J285" i="1" s="1"/>
  <c r="J288" i="1" s="1"/>
  <c r="J291" i="1" s="1"/>
  <c r="J294" i="1" s="1"/>
  <c r="J311" i="1" s="1"/>
  <c r="N276" i="1"/>
  <c r="G278" i="1"/>
  <c r="Q278" i="1"/>
  <c r="W278" i="1" s="1"/>
  <c r="L279" i="1"/>
  <c r="L282" i="1" s="1"/>
  <c r="L285" i="1" s="1"/>
  <c r="L288" i="1" s="1"/>
  <c r="L291" i="1" s="1"/>
  <c r="L294" i="1" s="1"/>
  <c r="L311" i="1" s="1"/>
  <c r="L314" i="1" s="1"/>
  <c r="L317" i="1" s="1"/>
  <c r="L320" i="1" s="1"/>
  <c r="L323" i="1" s="1"/>
  <c r="L326" i="1" s="1"/>
  <c r="L329" i="1" s="1"/>
  <c r="L332" i="1" s="1"/>
  <c r="L335" i="1" s="1"/>
  <c r="L338" i="1" s="1"/>
  <c r="L341" i="1" s="1"/>
  <c r="L344" i="1" s="1"/>
  <c r="L362" i="1" s="1"/>
  <c r="L365" i="1" s="1"/>
  <c r="L368" i="1" s="1"/>
  <c r="L371" i="1" s="1"/>
  <c r="L374" i="1" s="1"/>
  <c r="L377" i="1" s="1"/>
  <c r="L380" i="1" s="1"/>
  <c r="L383" i="1" s="1"/>
  <c r="L386" i="1" s="1"/>
  <c r="L389" i="1" s="1"/>
  <c r="L392" i="1" s="1"/>
  <c r="L395" i="1" s="1"/>
  <c r="L410" i="1" s="1"/>
  <c r="L413" i="1" s="1"/>
  <c r="L416" i="1" s="1"/>
  <c r="L419" i="1" s="1"/>
  <c r="L422" i="1" s="1"/>
  <c r="L425" i="1" s="1"/>
  <c r="L428" i="1" s="1"/>
  <c r="L431" i="1" s="1"/>
  <c r="L434" i="1" s="1"/>
  <c r="L437" i="1" s="1"/>
  <c r="L440" i="1" s="1"/>
  <c r="L443" i="1" s="1"/>
  <c r="L458" i="1" s="1"/>
  <c r="L461" i="1" s="1"/>
  <c r="L464" i="1" s="1"/>
  <c r="L467" i="1" s="1"/>
  <c r="L470" i="1" s="1"/>
  <c r="L473" i="1" s="1"/>
  <c r="L476" i="1" s="1"/>
  <c r="L479" i="1" s="1"/>
  <c r="L482" i="1" s="1"/>
  <c r="L485" i="1" s="1"/>
  <c r="L488" i="1" s="1"/>
  <c r="L491" i="1" s="1"/>
  <c r="L506" i="1" s="1"/>
  <c r="L509" i="1" s="1"/>
  <c r="L512" i="1" s="1"/>
  <c r="L515" i="1" s="1"/>
  <c r="L518" i="1" s="1"/>
  <c r="L521" i="1" s="1"/>
  <c r="L524" i="1" s="1"/>
  <c r="L527" i="1" s="1"/>
  <c r="L530" i="1" s="1"/>
  <c r="L533" i="1" s="1"/>
  <c r="L536" i="1" s="1"/>
  <c r="L539" i="1" s="1"/>
  <c r="L554" i="1" s="1"/>
  <c r="L557" i="1" s="1"/>
  <c r="L560" i="1" s="1"/>
  <c r="L563" i="1" s="1"/>
  <c r="L566" i="1" s="1"/>
  <c r="L569" i="1" s="1"/>
  <c r="L572" i="1" s="1"/>
  <c r="L575" i="1" s="1"/>
  <c r="L578" i="1" s="1"/>
  <c r="L581" i="1" s="1"/>
  <c r="L584" i="1" s="1"/>
  <c r="L587" i="1" s="1"/>
  <c r="L602" i="1" s="1"/>
  <c r="L605" i="1" s="1"/>
  <c r="L608" i="1" s="1"/>
  <c r="L611" i="1" s="1"/>
  <c r="L614" i="1" s="1"/>
  <c r="L617" i="1" s="1"/>
  <c r="L620" i="1" s="1"/>
  <c r="L623" i="1" s="1"/>
  <c r="L626" i="1" s="1"/>
  <c r="L629" i="1" s="1"/>
  <c r="L632" i="1" s="1"/>
  <c r="L635" i="1" s="1"/>
  <c r="L650" i="1" s="1"/>
  <c r="L653" i="1" s="1"/>
  <c r="L656" i="1" s="1"/>
  <c r="L659" i="1" s="1"/>
  <c r="L662" i="1" s="1"/>
  <c r="L665" i="1" s="1"/>
  <c r="L668" i="1" s="1"/>
  <c r="L671" i="1" s="1"/>
  <c r="L674" i="1" s="1"/>
  <c r="L677" i="1" s="1"/>
  <c r="L680" i="1" s="1"/>
  <c r="L683" i="1" s="1"/>
  <c r="L698" i="1" s="1"/>
  <c r="L701" i="1" s="1"/>
  <c r="L704" i="1" s="1"/>
  <c r="L707" i="1" s="1"/>
  <c r="L710" i="1" s="1"/>
  <c r="L713" i="1" s="1"/>
  <c r="L716" i="1" s="1"/>
  <c r="L719" i="1" s="1"/>
  <c r="L722" i="1" s="1"/>
  <c r="L725" i="1" s="1"/>
  <c r="L728" i="1" s="1"/>
  <c r="L731" i="1" s="1"/>
  <c r="L746" i="1" s="1"/>
  <c r="L749" i="1" s="1"/>
  <c r="L752" i="1" s="1"/>
  <c r="L755" i="1" s="1"/>
  <c r="L758" i="1" s="1"/>
  <c r="L761" i="1" s="1"/>
  <c r="L764" i="1" s="1"/>
  <c r="L767" i="1" s="1"/>
  <c r="L770" i="1" s="1"/>
  <c r="L773" i="1" s="1"/>
  <c r="L776" i="1" s="1"/>
  <c r="L779" i="1" s="1"/>
  <c r="L794" i="1" s="1"/>
  <c r="L797" i="1" s="1"/>
  <c r="L800" i="1" s="1"/>
  <c r="L803" i="1" s="1"/>
  <c r="L806" i="1" s="1"/>
  <c r="L809" i="1" s="1"/>
  <c r="L812" i="1" s="1"/>
  <c r="L815" i="1" s="1"/>
  <c r="L818" i="1" s="1"/>
  <c r="L821" i="1" s="1"/>
  <c r="L824" i="1" s="1"/>
  <c r="L827" i="1" s="1"/>
  <c r="L842" i="1" s="1"/>
  <c r="L845" i="1" s="1"/>
  <c r="L848" i="1" s="1"/>
  <c r="L851" i="1" s="1"/>
  <c r="L854" i="1" s="1"/>
  <c r="L857" i="1" s="1"/>
  <c r="L860" i="1" s="1"/>
  <c r="L863" i="1" s="1"/>
  <c r="L866" i="1" s="1"/>
  <c r="L869" i="1" s="1"/>
  <c r="L872" i="1" s="1"/>
  <c r="L875" i="1" s="1"/>
  <c r="L890" i="1" s="1"/>
  <c r="L893" i="1" s="1"/>
  <c r="L896" i="1" s="1"/>
  <c r="L899" i="1" s="1"/>
  <c r="L902" i="1" s="1"/>
  <c r="L905" i="1" s="1"/>
  <c r="L908" i="1" s="1"/>
  <c r="L911" i="1" s="1"/>
  <c r="L914" i="1" s="1"/>
  <c r="L917" i="1" s="1"/>
  <c r="L920" i="1" s="1"/>
  <c r="L923" i="1" s="1"/>
  <c r="L938" i="1" s="1"/>
  <c r="L941" i="1" s="1"/>
  <c r="L944" i="1" s="1"/>
  <c r="L947" i="1" s="1"/>
  <c r="L950" i="1" s="1"/>
  <c r="L953" i="1" s="1"/>
  <c r="L956" i="1" s="1"/>
  <c r="L959" i="1" s="1"/>
  <c r="L962" i="1" s="1"/>
  <c r="L965" i="1" s="1"/>
  <c r="L968" i="1" s="1"/>
  <c r="L971" i="1" s="1"/>
  <c r="N279" i="1"/>
  <c r="G281" i="1"/>
  <c r="W281" i="1" s="1"/>
  <c r="Q281" i="1"/>
  <c r="N282" i="1"/>
  <c r="N285" i="1" s="1"/>
  <c r="N288" i="1" s="1"/>
  <c r="N291" i="1" s="1"/>
  <c r="N294" i="1" s="1"/>
  <c r="N311" i="1" s="1"/>
  <c r="N314" i="1" s="1"/>
  <c r="N317" i="1" s="1"/>
  <c r="N320" i="1" s="1"/>
  <c r="N323" i="1" s="1"/>
  <c r="N326" i="1" s="1"/>
  <c r="N329" i="1" s="1"/>
  <c r="G284" i="1"/>
  <c r="Q284" i="1"/>
  <c r="G287" i="1"/>
  <c r="Q287" i="1"/>
  <c r="W287" i="1"/>
  <c r="Q290" i="1"/>
  <c r="W290" i="1" s="1"/>
  <c r="G293" i="1"/>
  <c r="Q293" i="1"/>
  <c r="W293" i="1"/>
  <c r="G310" i="1"/>
  <c r="Q310" i="1"/>
  <c r="W310" i="1"/>
  <c r="G313" i="1"/>
  <c r="Q313" i="1"/>
  <c r="W313" i="1" s="1"/>
  <c r="J314" i="1"/>
  <c r="J317" i="1" s="1"/>
  <c r="J320" i="1" s="1"/>
  <c r="J323" i="1" s="1"/>
  <c r="J326" i="1" s="1"/>
  <c r="J329" i="1" s="1"/>
  <c r="J332" i="1" s="1"/>
  <c r="J335" i="1" s="1"/>
  <c r="J338" i="1" s="1"/>
  <c r="P314" i="1"/>
  <c r="G316" i="1"/>
  <c r="W316" i="1" s="1"/>
  <c r="Q316" i="1"/>
  <c r="P317" i="1"/>
  <c r="P320" i="1" s="1"/>
  <c r="P323" i="1" s="1"/>
  <c r="G319" i="1"/>
  <c r="Q319" i="1"/>
  <c r="W319" i="1" s="1"/>
  <c r="O320" i="1"/>
  <c r="O323" i="1" s="1"/>
  <c r="O326" i="1" s="1"/>
  <c r="O329" i="1" s="1"/>
  <c r="O332" i="1" s="1"/>
  <c r="O335" i="1" s="1"/>
  <c r="O338" i="1" s="1"/>
  <c r="O341" i="1" s="1"/>
  <c r="O344" i="1" s="1"/>
  <c r="O362" i="1" s="1"/>
  <c r="O365" i="1" s="1"/>
  <c r="O368" i="1" s="1"/>
  <c r="O371" i="1" s="1"/>
  <c r="O374" i="1" s="1"/>
  <c r="O377" i="1" s="1"/>
  <c r="O380" i="1" s="1"/>
  <c r="O383" i="1" s="1"/>
  <c r="O386" i="1" s="1"/>
  <c r="O389" i="1" s="1"/>
  <c r="O392" i="1" s="1"/>
  <c r="G322" i="1"/>
  <c r="Q322" i="1"/>
  <c r="W322" i="1" s="1"/>
  <c r="M323" i="1"/>
  <c r="M326" i="1" s="1"/>
  <c r="M329" i="1" s="1"/>
  <c r="M332" i="1" s="1"/>
  <c r="M335" i="1" s="1"/>
  <c r="M338" i="1" s="1"/>
  <c r="M341" i="1" s="1"/>
  <c r="M344" i="1" s="1"/>
  <c r="M362" i="1" s="1"/>
  <c r="M365" i="1" s="1"/>
  <c r="M368" i="1" s="1"/>
  <c r="M371" i="1" s="1"/>
  <c r="M374" i="1" s="1"/>
  <c r="M377" i="1" s="1"/>
  <c r="M380" i="1" s="1"/>
  <c r="M383" i="1" s="1"/>
  <c r="M386" i="1" s="1"/>
  <c r="M389" i="1" s="1"/>
  <c r="M392" i="1" s="1"/>
  <c r="M395" i="1" s="1"/>
  <c r="M410" i="1" s="1"/>
  <c r="M413" i="1" s="1"/>
  <c r="M416" i="1" s="1"/>
  <c r="M419" i="1" s="1"/>
  <c r="M422" i="1" s="1"/>
  <c r="M425" i="1" s="1"/>
  <c r="M428" i="1" s="1"/>
  <c r="M431" i="1" s="1"/>
  <c r="M434" i="1" s="1"/>
  <c r="M437" i="1" s="1"/>
  <c r="M440" i="1" s="1"/>
  <c r="M443" i="1" s="1"/>
  <c r="M458" i="1" s="1"/>
  <c r="M461" i="1" s="1"/>
  <c r="M464" i="1" s="1"/>
  <c r="M467" i="1" s="1"/>
  <c r="M470" i="1" s="1"/>
  <c r="M473" i="1" s="1"/>
  <c r="M476" i="1" s="1"/>
  <c r="M479" i="1" s="1"/>
  <c r="M482" i="1" s="1"/>
  <c r="M485" i="1" s="1"/>
  <c r="M488" i="1" s="1"/>
  <c r="M491" i="1" s="1"/>
  <c r="M506" i="1" s="1"/>
  <c r="M509" i="1" s="1"/>
  <c r="M512" i="1" s="1"/>
  <c r="M515" i="1" s="1"/>
  <c r="M518" i="1" s="1"/>
  <c r="M521" i="1" s="1"/>
  <c r="M524" i="1" s="1"/>
  <c r="M527" i="1" s="1"/>
  <c r="M530" i="1" s="1"/>
  <c r="M533" i="1" s="1"/>
  <c r="M536" i="1" s="1"/>
  <c r="M539" i="1" s="1"/>
  <c r="M554" i="1" s="1"/>
  <c r="M557" i="1" s="1"/>
  <c r="M560" i="1" s="1"/>
  <c r="M563" i="1" s="1"/>
  <c r="M566" i="1" s="1"/>
  <c r="M569" i="1" s="1"/>
  <c r="M572" i="1" s="1"/>
  <c r="M575" i="1" s="1"/>
  <c r="M578" i="1" s="1"/>
  <c r="M581" i="1" s="1"/>
  <c r="M584" i="1" s="1"/>
  <c r="M587" i="1" s="1"/>
  <c r="M602" i="1" s="1"/>
  <c r="M605" i="1" s="1"/>
  <c r="M608" i="1" s="1"/>
  <c r="M611" i="1" s="1"/>
  <c r="M614" i="1" s="1"/>
  <c r="M617" i="1" s="1"/>
  <c r="M620" i="1" s="1"/>
  <c r="M623" i="1" s="1"/>
  <c r="M626" i="1" s="1"/>
  <c r="M629" i="1" s="1"/>
  <c r="M632" i="1" s="1"/>
  <c r="M635" i="1" s="1"/>
  <c r="M650" i="1" s="1"/>
  <c r="M653" i="1" s="1"/>
  <c r="M656" i="1" s="1"/>
  <c r="M659" i="1" s="1"/>
  <c r="M662" i="1" s="1"/>
  <c r="M665" i="1" s="1"/>
  <c r="M668" i="1" s="1"/>
  <c r="M671" i="1" s="1"/>
  <c r="M674" i="1" s="1"/>
  <c r="M677" i="1" s="1"/>
  <c r="M680" i="1" s="1"/>
  <c r="M683" i="1" s="1"/>
  <c r="M698" i="1" s="1"/>
  <c r="M701" i="1" s="1"/>
  <c r="M704" i="1" s="1"/>
  <c r="M707" i="1" s="1"/>
  <c r="M710" i="1" s="1"/>
  <c r="M713" i="1" s="1"/>
  <c r="M716" i="1" s="1"/>
  <c r="M719" i="1" s="1"/>
  <c r="M722" i="1" s="1"/>
  <c r="M725" i="1" s="1"/>
  <c r="M728" i="1" s="1"/>
  <c r="M731" i="1" s="1"/>
  <c r="M746" i="1" s="1"/>
  <c r="M749" i="1" s="1"/>
  <c r="M752" i="1" s="1"/>
  <c r="M755" i="1" s="1"/>
  <c r="M758" i="1" s="1"/>
  <c r="M761" i="1" s="1"/>
  <c r="M764" i="1" s="1"/>
  <c r="M767" i="1" s="1"/>
  <c r="M770" i="1" s="1"/>
  <c r="M773" i="1" s="1"/>
  <c r="M776" i="1" s="1"/>
  <c r="M779" i="1" s="1"/>
  <c r="M794" i="1" s="1"/>
  <c r="M797" i="1" s="1"/>
  <c r="M800" i="1" s="1"/>
  <c r="M803" i="1" s="1"/>
  <c r="M806" i="1" s="1"/>
  <c r="M809" i="1" s="1"/>
  <c r="M812" i="1" s="1"/>
  <c r="M815" i="1" s="1"/>
  <c r="M818" i="1" s="1"/>
  <c r="M821" i="1" s="1"/>
  <c r="M824" i="1" s="1"/>
  <c r="M827" i="1" s="1"/>
  <c r="M842" i="1" s="1"/>
  <c r="M845" i="1" s="1"/>
  <c r="M848" i="1" s="1"/>
  <c r="M851" i="1" s="1"/>
  <c r="M854" i="1" s="1"/>
  <c r="M857" i="1" s="1"/>
  <c r="M860" i="1" s="1"/>
  <c r="M863" i="1" s="1"/>
  <c r="M866" i="1" s="1"/>
  <c r="M869" i="1" s="1"/>
  <c r="M872" i="1" s="1"/>
  <c r="M875" i="1" s="1"/>
  <c r="M890" i="1" s="1"/>
  <c r="M893" i="1" s="1"/>
  <c r="M896" i="1" s="1"/>
  <c r="M899" i="1" s="1"/>
  <c r="M902" i="1" s="1"/>
  <c r="M905" i="1" s="1"/>
  <c r="M908" i="1" s="1"/>
  <c r="M911" i="1" s="1"/>
  <c r="M914" i="1" s="1"/>
  <c r="M917" i="1" s="1"/>
  <c r="M920" i="1" s="1"/>
  <c r="M923" i="1" s="1"/>
  <c r="M938" i="1" s="1"/>
  <c r="M941" i="1" s="1"/>
  <c r="M944" i="1" s="1"/>
  <c r="M947" i="1" s="1"/>
  <c r="M950" i="1" s="1"/>
  <c r="M953" i="1" s="1"/>
  <c r="M956" i="1" s="1"/>
  <c r="M959" i="1" s="1"/>
  <c r="M962" i="1" s="1"/>
  <c r="M965" i="1" s="1"/>
  <c r="M968" i="1" s="1"/>
  <c r="M971" i="1" s="1"/>
  <c r="M986" i="1" s="1"/>
  <c r="M989" i="1" s="1"/>
  <c r="M992" i="1" s="1"/>
  <c r="M995" i="1" s="1"/>
  <c r="M998" i="1" s="1"/>
  <c r="M1001" i="1" s="1"/>
  <c r="M1004" i="1" s="1"/>
  <c r="M1007" i="1" s="1"/>
  <c r="M1010" i="1" s="1"/>
  <c r="M1013" i="1" s="1"/>
  <c r="M1016" i="1" s="1"/>
  <c r="M1019" i="1" s="1"/>
  <c r="M1034" i="1" s="1"/>
  <c r="M1037" i="1" s="1"/>
  <c r="M1040" i="1" s="1"/>
  <c r="M1043" i="1" s="1"/>
  <c r="M1046" i="1" s="1"/>
  <c r="M1049" i="1" s="1"/>
  <c r="M1052" i="1" s="1"/>
  <c r="M1055" i="1" s="1"/>
  <c r="M1058" i="1" s="1"/>
  <c r="M1061" i="1" s="1"/>
  <c r="M1064" i="1" s="1"/>
  <c r="M1067" i="1" s="1"/>
  <c r="M1082" i="1" s="1"/>
  <c r="M1085" i="1" s="1"/>
  <c r="M1088" i="1" s="1"/>
  <c r="M1091" i="1" s="1"/>
  <c r="M1094" i="1" s="1"/>
  <c r="M1097" i="1" s="1"/>
  <c r="M1100" i="1" s="1"/>
  <c r="M1103" i="1" s="1"/>
  <c r="M1106" i="1" s="1"/>
  <c r="M1109" i="1" s="1"/>
  <c r="M1112" i="1" s="1"/>
  <c r="M1115" i="1" s="1"/>
  <c r="G325" i="1"/>
  <c r="W325" i="1" s="1"/>
  <c r="Q325" i="1"/>
  <c r="P326" i="1"/>
  <c r="P329" i="1" s="1"/>
  <c r="P332" i="1" s="1"/>
  <c r="P335" i="1" s="1"/>
  <c r="P338" i="1" s="1"/>
  <c r="P341" i="1" s="1"/>
  <c r="P344" i="1" s="1"/>
  <c r="P362" i="1" s="1"/>
  <c r="P365" i="1" s="1"/>
  <c r="P368" i="1" s="1"/>
  <c r="P371" i="1" s="1"/>
  <c r="P374" i="1" s="1"/>
  <c r="P377" i="1" s="1"/>
  <c r="P380" i="1" s="1"/>
  <c r="P383" i="1" s="1"/>
  <c r="P386" i="1" s="1"/>
  <c r="P389" i="1" s="1"/>
  <c r="P392" i="1" s="1"/>
  <c r="P395" i="1" s="1"/>
  <c r="P410" i="1" s="1"/>
  <c r="P413" i="1" s="1"/>
  <c r="P416" i="1" s="1"/>
  <c r="P419" i="1" s="1"/>
  <c r="P422" i="1" s="1"/>
  <c r="P425" i="1" s="1"/>
  <c r="P428" i="1" s="1"/>
  <c r="P431" i="1" s="1"/>
  <c r="P434" i="1" s="1"/>
  <c r="P437" i="1" s="1"/>
  <c r="P440" i="1" s="1"/>
  <c r="P443" i="1" s="1"/>
  <c r="P458" i="1" s="1"/>
  <c r="P461" i="1" s="1"/>
  <c r="P464" i="1" s="1"/>
  <c r="P467" i="1" s="1"/>
  <c r="P470" i="1" s="1"/>
  <c r="P473" i="1" s="1"/>
  <c r="P476" i="1" s="1"/>
  <c r="P479" i="1" s="1"/>
  <c r="P482" i="1" s="1"/>
  <c r="P485" i="1" s="1"/>
  <c r="P488" i="1" s="1"/>
  <c r="P491" i="1" s="1"/>
  <c r="P506" i="1" s="1"/>
  <c r="P509" i="1" s="1"/>
  <c r="P512" i="1" s="1"/>
  <c r="P515" i="1" s="1"/>
  <c r="P518" i="1" s="1"/>
  <c r="P521" i="1" s="1"/>
  <c r="P524" i="1" s="1"/>
  <c r="P527" i="1" s="1"/>
  <c r="P530" i="1" s="1"/>
  <c r="P533" i="1" s="1"/>
  <c r="P536" i="1" s="1"/>
  <c r="P539" i="1" s="1"/>
  <c r="P554" i="1" s="1"/>
  <c r="P557" i="1" s="1"/>
  <c r="P560" i="1" s="1"/>
  <c r="P563" i="1" s="1"/>
  <c r="P566" i="1" s="1"/>
  <c r="P569" i="1" s="1"/>
  <c r="P572" i="1" s="1"/>
  <c r="P575" i="1" s="1"/>
  <c r="P578" i="1" s="1"/>
  <c r="P581" i="1" s="1"/>
  <c r="P584" i="1" s="1"/>
  <c r="P587" i="1" s="1"/>
  <c r="P602" i="1" s="1"/>
  <c r="P605" i="1" s="1"/>
  <c r="P608" i="1" s="1"/>
  <c r="P611" i="1" s="1"/>
  <c r="P614" i="1" s="1"/>
  <c r="P617" i="1" s="1"/>
  <c r="P620" i="1" s="1"/>
  <c r="P623" i="1" s="1"/>
  <c r="P626" i="1" s="1"/>
  <c r="P629" i="1" s="1"/>
  <c r="P632" i="1" s="1"/>
  <c r="P635" i="1" s="1"/>
  <c r="P650" i="1" s="1"/>
  <c r="P653" i="1" s="1"/>
  <c r="P656" i="1" s="1"/>
  <c r="P659" i="1" s="1"/>
  <c r="P662" i="1" s="1"/>
  <c r="P665" i="1" s="1"/>
  <c r="P668" i="1" s="1"/>
  <c r="P671" i="1" s="1"/>
  <c r="P674" i="1" s="1"/>
  <c r="P677" i="1" s="1"/>
  <c r="P680" i="1" s="1"/>
  <c r="P683" i="1" s="1"/>
  <c r="P698" i="1" s="1"/>
  <c r="P701" i="1" s="1"/>
  <c r="P704" i="1" s="1"/>
  <c r="P707" i="1" s="1"/>
  <c r="P710" i="1" s="1"/>
  <c r="P713" i="1" s="1"/>
  <c r="P716" i="1" s="1"/>
  <c r="P719" i="1" s="1"/>
  <c r="P722" i="1" s="1"/>
  <c r="P725" i="1" s="1"/>
  <c r="P728" i="1" s="1"/>
  <c r="P731" i="1" s="1"/>
  <c r="P746" i="1" s="1"/>
  <c r="P749" i="1" s="1"/>
  <c r="P752" i="1" s="1"/>
  <c r="P755" i="1" s="1"/>
  <c r="P758" i="1" s="1"/>
  <c r="P761" i="1" s="1"/>
  <c r="P764" i="1" s="1"/>
  <c r="P767" i="1" s="1"/>
  <c r="P770" i="1" s="1"/>
  <c r="P773" i="1" s="1"/>
  <c r="P776" i="1" s="1"/>
  <c r="P779" i="1" s="1"/>
  <c r="P794" i="1" s="1"/>
  <c r="P797" i="1" s="1"/>
  <c r="P800" i="1" s="1"/>
  <c r="P803" i="1" s="1"/>
  <c r="P806" i="1" s="1"/>
  <c r="P809" i="1" s="1"/>
  <c r="P812" i="1" s="1"/>
  <c r="P815" i="1" s="1"/>
  <c r="P818" i="1" s="1"/>
  <c r="P821" i="1" s="1"/>
  <c r="P824" i="1" s="1"/>
  <c r="P827" i="1" s="1"/>
  <c r="P842" i="1" s="1"/>
  <c r="P845" i="1" s="1"/>
  <c r="P848" i="1" s="1"/>
  <c r="P851" i="1" s="1"/>
  <c r="P854" i="1" s="1"/>
  <c r="P857" i="1" s="1"/>
  <c r="P860" i="1" s="1"/>
  <c r="P863" i="1" s="1"/>
  <c r="P866" i="1" s="1"/>
  <c r="P869" i="1" s="1"/>
  <c r="P872" i="1" s="1"/>
  <c r="P875" i="1" s="1"/>
  <c r="P890" i="1" s="1"/>
  <c r="P893" i="1" s="1"/>
  <c r="P896" i="1" s="1"/>
  <c r="P899" i="1" s="1"/>
  <c r="P902" i="1" s="1"/>
  <c r="P905" i="1" s="1"/>
  <c r="P908" i="1" s="1"/>
  <c r="P911" i="1" s="1"/>
  <c r="P914" i="1" s="1"/>
  <c r="P917" i="1" s="1"/>
  <c r="P920" i="1" s="1"/>
  <c r="P923" i="1" s="1"/>
  <c r="P938" i="1" s="1"/>
  <c r="P941" i="1" s="1"/>
  <c r="P944" i="1" s="1"/>
  <c r="P947" i="1" s="1"/>
  <c r="P950" i="1" s="1"/>
  <c r="P953" i="1" s="1"/>
  <c r="P956" i="1" s="1"/>
  <c r="P959" i="1" s="1"/>
  <c r="P962" i="1" s="1"/>
  <c r="P965" i="1" s="1"/>
  <c r="P968" i="1" s="1"/>
  <c r="P971" i="1" s="1"/>
  <c r="P986" i="1" s="1"/>
  <c r="P989" i="1" s="1"/>
  <c r="P992" i="1" s="1"/>
  <c r="P995" i="1" s="1"/>
  <c r="P998" i="1" s="1"/>
  <c r="P1001" i="1" s="1"/>
  <c r="P1004" i="1" s="1"/>
  <c r="P1007" i="1" s="1"/>
  <c r="P1010" i="1" s="1"/>
  <c r="P1013" i="1" s="1"/>
  <c r="P1016" i="1" s="1"/>
  <c r="P1019" i="1" s="1"/>
  <c r="P1034" i="1" s="1"/>
  <c r="P1037" i="1" s="1"/>
  <c r="P1040" i="1" s="1"/>
  <c r="P1043" i="1" s="1"/>
  <c r="P1046" i="1" s="1"/>
  <c r="P1049" i="1" s="1"/>
  <c r="P1052" i="1" s="1"/>
  <c r="P1055" i="1" s="1"/>
  <c r="P1058" i="1" s="1"/>
  <c r="P1061" i="1" s="1"/>
  <c r="P1064" i="1" s="1"/>
  <c r="P1067" i="1" s="1"/>
  <c r="P1082" i="1" s="1"/>
  <c r="P1085" i="1" s="1"/>
  <c r="P1088" i="1" s="1"/>
  <c r="P1091" i="1" s="1"/>
  <c r="P1094" i="1" s="1"/>
  <c r="P1097" i="1" s="1"/>
  <c r="P1100" i="1" s="1"/>
  <c r="P1103" i="1" s="1"/>
  <c r="P1106" i="1" s="1"/>
  <c r="P1109" i="1" s="1"/>
  <c r="P1112" i="1" s="1"/>
  <c r="P1115" i="1" s="1"/>
  <c r="G328" i="1"/>
  <c r="Q328" i="1"/>
  <c r="W328" i="1" s="1"/>
  <c r="AA328" i="1"/>
  <c r="G331" i="1"/>
  <c r="AA331" i="1" s="1"/>
  <c r="AB331" i="1"/>
  <c r="AB334" i="1" s="1"/>
  <c r="Q331" i="1"/>
  <c r="W331" i="1"/>
  <c r="N332" i="1"/>
  <c r="N335" i="1" s="1"/>
  <c r="N338" i="1" s="1"/>
  <c r="N341" i="1" s="1"/>
  <c r="N344" i="1" s="1"/>
  <c r="N362" i="1" s="1"/>
  <c r="N365" i="1" s="1"/>
  <c r="N368" i="1" s="1"/>
  <c r="N371" i="1" s="1"/>
  <c r="N374" i="1" s="1"/>
  <c r="N377" i="1" s="1"/>
  <c r="N380" i="1" s="1"/>
  <c r="N383" i="1" s="1"/>
  <c r="N386" i="1" s="1"/>
  <c r="N389" i="1" s="1"/>
  <c r="N392" i="1" s="1"/>
  <c r="N395" i="1" s="1"/>
  <c r="N410" i="1" s="1"/>
  <c r="N413" i="1" s="1"/>
  <c r="N416" i="1" s="1"/>
  <c r="N419" i="1" s="1"/>
  <c r="N422" i="1" s="1"/>
  <c r="N425" i="1" s="1"/>
  <c r="N428" i="1" s="1"/>
  <c r="N431" i="1" s="1"/>
  <c r="N434" i="1" s="1"/>
  <c r="N437" i="1" s="1"/>
  <c r="N440" i="1" s="1"/>
  <c r="N443" i="1" s="1"/>
  <c r="N458" i="1" s="1"/>
  <c r="N461" i="1" s="1"/>
  <c r="N464" i="1" s="1"/>
  <c r="N467" i="1" s="1"/>
  <c r="N470" i="1" s="1"/>
  <c r="N473" i="1" s="1"/>
  <c r="N476" i="1" s="1"/>
  <c r="N479" i="1" s="1"/>
  <c r="N482" i="1" s="1"/>
  <c r="N485" i="1" s="1"/>
  <c r="N488" i="1" s="1"/>
  <c r="N491" i="1" s="1"/>
  <c r="N506" i="1" s="1"/>
  <c r="N509" i="1" s="1"/>
  <c r="N512" i="1" s="1"/>
  <c r="N515" i="1" s="1"/>
  <c r="N518" i="1" s="1"/>
  <c r="N521" i="1" s="1"/>
  <c r="N524" i="1" s="1"/>
  <c r="N527" i="1" s="1"/>
  <c r="N530" i="1" s="1"/>
  <c r="N533" i="1" s="1"/>
  <c r="N536" i="1" s="1"/>
  <c r="N539" i="1" s="1"/>
  <c r="N554" i="1" s="1"/>
  <c r="N557" i="1" s="1"/>
  <c r="N560" i="1" s="1"/>
  <c r="N563" i="1" s="1"/>
  <c r="N566" i="1" s="1"/>
  <c r="N569" i="1" s="1"/>
  <c r="N572" i="1" s="1"/>
  <c r="N575" i="1" s="1"/>
  <c r="N578" i="1" s="1"/>
  <c r="N581" i="1" s="1"/>
  <c r="N584" i="1" s="1"/>
  <c r="N587" i="1" s="1"/>
  <c r="N602" i="1" s="1"/>
  <c r="N605" i="1" s="1"/>
  <c r="N608" i="1" s="1"/>
  <c r="N611" i="1" s="1"/>
  <c r="N614" i="1" s="1"/>
  <c r="N617" i="1" s="1"/>
  <c r="N620" i="1" s="1"/>
  <c r="N623" i="1" s="1"/>
  <c r="N626" i="1" s="1"/>
  <c r="N629" i="1" s="1"/>
  <c r="N632" i="1" s="1"/>
  <c r="N635" i="1" s="1"/>
  <c r="N650" i="1" s="1"/>
  <c r="N653" i="1" s="1"/>
  <c r="N656" i="1" s="1"/>
  <c r="N659" i="1" s="1"/>
  <c r="N662" i="1" s="1"/>
  <c r="N665" i="1" s="1"/>
  <c r="N668" i="1" s="1"/>
  <c r="N671" i="1" s="1"/>
  <c r="N674" i="1" s="1"/>
  <c r="N677" i="1" s="1"/>
  <c r="N680" i="1" s="1"/>
  <c r="N683" i="1" s="1"/>
  <c r="N698" i="1" s="1"/>
  <c r="N701" i="1" s="1"/>
  <c r="N704" i="1" s="1"/>
  <c r="N707" i="1" s="1"/>
  <c r="N710" i="1" s="1"/>
  <c r="N713" i="1" s="1"/>
  <c r="N716" i="1" s="1"/>
  <c r="N719" i="1" s="1"/>
  <c r="N722" i="1" s="1"/>
  <c r="N725" i="1" s="1"/>
  <c r="N728" i="1" s="1"/>
  <c r="N731" i="1" s="1"/>
  <c r="N746" i="1" s="1"/>
  <c r="N749" i="1" s="1"/>
  <c r="N752" i="1" s="1"/>
  <c r="N755" i="1" s="1"/>
  <c r="N758" i="1" s="1"/>
  <c r="N761" i="1" s="1"/>
  <c r="N764" i="1" s="1"/>
  <c r="N767" i="1" s="1"/>
  <c r="N770" i="1" s="1"/>
  <c r="N773" i="1" s="1"/>
  <c r="N776" i="1" s="1"/>
  <c r="N779" i="1" s="1"/>
  <c r="N794" i="1" s="1"/>
  <c r="N797" i="1" s="1"/>
  <c r="N800" i="1" s="1"/>
  <c r="N803" i="1" s="1"/>
  <c r="N806" i="1" s="1"/>
  <c r="N809" i="1" s="1"/>
  <c r="N812" i="1" s="1"/>
  <c r="N815" i="1" s="1"/>
  <c r="N818" i="1" s="1"/>
  <c r="N821" i="1" s="1"/>
  <c r="N824" i="1" s="1"/>
  <c r="N827" i="1" s="1"/>
  <c r="N842" i="1" s="1"/>
  <c r="N845" i="1" s="1"/>
  <c r="N848" i="1" s="1"/>
  <c r="N851" i="1" s="1"/>
  <c r="N854" i="1" s="1"/>
  <c r="N857" i="1" s="1"/>
  <c r="N860" i="1" s="1"/>
  <c r="N863" i="1" s="1"/>
  <c r="N866" i="1" s="1"/>
  <c r="N869" i="1" s="1"/>
  <c r="N872" i="1" s="1"/>
  <c r="N875" i="1" s="1"/>
  <c r="N890" i="1" s="1"/>
  <c r="N893" i="1" s="1"/>
  <c r="N896" i="1" s="1"/>
  <c r="N899" i="1" s="1"/>
  <c r="N902" i="1" s="1"/>
  <c r="N905" i="1" s="1"/>
  <c r="N908" i="1" s="1"/>
  <c r="N911" i="1" s="1"/>
  <c r="N914" i="1" s="1"/>
  <c r="N917" i="1" s="1"/>
  <c r="N920" i="1" s="1"/>
  <c r="N923" i="1" s="1"/>
  <c r="N938" i="1" s="1"/>
  <c r="N941" i="1" s="1"/>
  <c r="N944" i="1" s="1"/>
  <c r="N947" i="1" s="1"/>
  <c r="N950" i="1" s="1"/>
  <c r="N953" i="1" s="1"/>
  <c r="N956" i="1" s="1"/>
  <c r="N959" i="1" s="1"/>
  <c r="N962" i="1" s="1"/>
  <c r="N965" i="1" s="1"/>
  <c r="N968" i="1" s="1"/>
  <c r="N971" i="1" s="1"/>
  <c r="N986" i="1" s="1"/>
  <c r="N989" i="1" s="1"/>
  <c r="N992" i="1" s="1"/>
  <c r="N995" i="1" s="1"/>
  <c r="N998" i="1" s="1"/>
  <c r="N1001" i="1" s="1"/>
  <c r="N1004" i="1" s="1"/>
  <c r="N1007" i="1" s="1"/>
  <c r="N1010" i="1" s="1"/>
  <c r="N1013" i="1" s="1"/>
  <c r="N1016" i="1" s="1"/>
  <c r="N1019" i="1" s="1"/>
  <c r="N1034" i="1" s="1"/>
  <c r="N1037" i="1" s="1"/>
  <c r="N1040" i="1" s="1"/>
  <c r="N1043" i="1" s="1"/>
  <c r="N1046" i="1" s="1"/>
  <c r="N1049" i="1" s="1"/>
  <c r="N1052" i="1" s="1"/>
  <c r="N1055" i="1" s="1"/>
  <c r="N1058" i="1" s="1"/>
  <c r="N1061" i="1" s="1"/>
  <c r="N1064" i="1" s="1"/>
  <c r="N1067" i="1" s="1"/>
  <c r="N1082" i="1" s="1"/>
  <c r="N1085" i="1" s="1"/>
  <c r="N1088" i="1" s="1"/>
  <c r="N1091" i="1" s="1"/>
  <c r="N1094" i="1" s="1"/>
  <c r="N1097" i="1" s="1"/>
  <c r="N1100" i="1" s="1"/>
  <c r="N1103" i="1" s="1"/>
  <c r="N1106" i="1" s="1"/>
  <c r="N1109" i="1" s="1"/>
  <c r="N1112" i="1" s="1"/>
  <c r="N1115" i="1" s="1"/>
  <c r="G334" i="1"/>
  <c r="AA334" i="1" s="1"/>
  <c r="Q334" i="1"/>
  <c r="G337" i="1"/>
  <c r="Q337" i="1"/>
  <c r="W337" i="1"/>
  <c r="AA337" i="1"/>
  <c r="I338" i="1"/>
  <c r="I341" i="1" s="1"/>
  <c r="I344" i="1" s="1"/>
  <c r="I362" i="1" s="1"/>
  <c r="I365" i="1" s="1"/>
  <c r="I368" i="1" s="1"/>
  <c r="I371" i="1" s="1"/>
  <c r="I374" i="1" s="1"/>
  <c r="I377" i="1" s="1"/>
  <c r="I380" i="1" s="1"/>
  <c r="I383" i="1" s="1"/>
  <c r="I386" i="1" s="1"/>
  <c r="I389" i="1" s="1"/>
  <c r="I392" i="1" s="1"/>
  <c r="I395" i="1" s="1"/>
  <c r="I410" i="1" s="1"/>
  <c r="I413" i="1" s="1"/>
  <c r="I416" i="1" s="1"/>
  <c r="I419" i="1" s="1"/>
  <c r="I422" i="1" s="1"/>
  <c r="I425" i="1" s="1"/>
  <c r="I428" i="1" s="1"/>
  <c r="I431" i="1" s="1"/>
  <c r="I434" i="1" s="1"/>
  <c r="I437" i="1" s="1"/>
  <c r="I440" i="1" s="1"/>
  <c r="I443" i="1" s="1"/>
  <c r="I458" i="1" s="1"/>
  <c r="I461" i="1" s="1"/>
  <c r="I464" i="1" s="1"/>
  <c r="I467" i="1" s="1"/>
  <c r="I470" i="1" s="1"/>
  <c r="I473" i="1" s="1"/>
  <c r="I476" i="1" s="1"/>
  <c r="I479" i="1" s="1"/>
  <c r="I482" i="1" s="1"/>
  <c r="I485" i="1" s="1"/>
  <c r="G340" i="1"/>
  <c r="AA340" i="1" s="1"/>
  <c r="Q340" i="1"/>
  <c r="W340" i="1"/>
  <c r="J341" i="1"/>
  <c r="J344" i="1" s="1"/>
  <c r="J362" i="1" s="1"/>
  <c r="J365" i="1" s="1"/>
  <c r="J368" i="1" s="1"/>
  <c r="J371" i="1" s="1"/>
  <c r="J374" i="1" s="1"/>
  <c r="J377" i="1" s="1"/>
  <c r="J380" i="1" s="1"/>
  <c r="J383" i="1" s="1"/>
  <c r="J386" i="1" s="1"/>
  <c r="J389" i="1" s="1"/>
  <c r="J392" i="1" s="1"/>
  <c r="J395" i="1" s="1"/>
  <c r="J410" i="1" s="1"/>
  <c r="J413" i="1" s="1"/>
  <c r="J416" i="1" s="1"/>
  <c r="J419" i="1" s="1"/>
  <c r="J422" i="1" s="1"/>
  <c r="J425" i="1" s="1"/>
  <c r="J428" i="1" s="1"/>
  <c r="J431" i="1" s="1"/>
  <c r="J434" i="1" s="1"/>
  <c r="J437" i="1" s="1"/>
  <c r="J440" i="1" s="1"/>
  <c r="J443" i="1" s="1"/>
  <c r="J458" i="1" s="1"/>
  <c r="J461" i="1" s="1"/>
  <c r="J464" i="1" s="1"/>
  <c r="J467" i="1" s="1"/>
  <c r="J470" i="1" s="1"/>
  <c r="J473" i="1" s="1"/>
  <c r="J476" i="1" s="1"/>
  <c r="J479" i="1" s="1"/>
  <c r="J482" i="1" s="1"/>
  <c r="J485" i="1" s="1"/>
  <c r="J488" i="1" s="1"/>
  <c r="J491" i="1" s="1"/>
  <c r="J506" i="1" s="1"/>
  <c r="J509" i="1" s="1"/>
  <c r="J512" i="1" s="1"/>
  <c r="J515" i="1" s="1"/>
  <c r="J518" i="1" s="1"/>
  <c r="J521" i="1" s="1"/>
  <c r="J524" i="1" s="1"/>
  <c r="J527" i="1" s="1"/>
  <c r="J530" i="1" s="1"/>
  <c r="J533" i="1" s="1"/>
  <c r="J536" i="1" s="1"/>
  <c r="J539" i="1" s="1"/>
  <c r="J554" i="1" s="1"/>
  <c r="J557" i="1" s="1"/>
  <c r="J560" i="1" s="1"/>
  <c r="J563" i="1" s="1"/>
  <c r="J566" i="1" s="1"/>
  <c r="J569" i="1" s="1"/>
  <c r="J572" i="1" s="1"/>
  <c r="J575" i="1" s="1"/>
  <c r="J578" i="1" s="1"/>
  <c r="J581" i="1" s="1"/>
  <c r="J584" i="1" s="1"/>
  <c r="J587" i="1" s="1"/>
  <c r="J602" i="1" s="1"/>
  <c r="J605" i="1" s="1"/>
  <c r="J608" i="1" s="1"/>
  <c r="J611" i="1" s="1"/>
  <c r="J614" i="1" s="1"/>
  <c r="J617" i="1" s="1"/>
  <c r="J620" i="1" s="1"/>
  <c r="J623" i="1" s="1"/>
  <c r="J626" i="1" s="1"/>
  <c r="J629" i="1" s="1"/>
  <c r="J632" i="1" s="1"/>
  <c r="J635" i="1" s="1"/>
  <c r="J650" i="1" s="1"/>
  <c r="J653" i="1" s="1"/>
  <c r="J656" i="1" s="1"/>
  <c r="J659" i="1" s="1"/>
  <c r="J662" i="1" s="1"/>
  <c r="J665" i="1" s="1"/>
  <c r="J668" i="1" s="1"/>
  <c r="G343" i="1"/>
  <c r="Q343" i="1"/>
  <c r="G361" i="1"/>
  <c r="Q361" i="1"/>
  <c r="W361" i="1"/>
  <c r="AA361" i="1"/>
  <c r="G364" i="1"/>
  <c r="AA364" i="1" s="1"/>
  <c r="Q364" i="1"/>
  <c r="G367" i="1"/>
  <c r="Q367" i="1"/>
  <c r="G370" i="1"/>
  <c r="Q370" i="1"/>
  <c r="W370" i="1" s="1"/>
  <c r="AA370" i="1"/>
  <c r="G373" i="1"/>
  <c r="AA373" i="1" s="1"/>
  <c r="Q373" i="1"/>
  <c r="G376" i="1"/>
  <c r="Q376" i="1"/>
  <c r="W376" i="1"/>
  <c r="AA376" i="1"/>
  <c r="AC376" i="1"/>
  <c r="B377" i="1"/>
  <c r="B380" i="1" s="1"/>
  <c r="B383" i="1" s="1"/>
  <c r="G379" i="1"/>
  <c r="W379" i="1" s="1"/>
  <c r="Q379" i="1"/>
  <c r="G382" i="1"/>
  <c r="W382" i="1" s="1"/>
  <c r="Q382" i="1"/>
  <c r="G385" i="1"/>
  <c r="Q385" i="1"/>
  <c r="W385" i="1" s="1"/>
  <c r="B386" i="1"/>
  <c r="B389" i="1" s="1"/>
  <c r="B392" i="1" s="1"/>
  <c r="B395" i="1" s="1"/>
  <c r="B410" i="1" s="1"/>
  <c r="B413" i="1" s="1"/>
  <c r="B416" i="1" s="1"/>
  <c r="B419" i="1" s="1"/>
  <c r="B422" i="1" s="1"/>
  <c r="B425" i="1" s="1"/>
  <c r="B428" i="1" s="1"/>
  <c r="B431" i="1" s="1"/>
  <c r="B434" i="1" s="1"/>
  <c r="B437" i="1" s="1"/>
  <c r="C386" i="1"/>
  <c r="C389" i="1" s="1"/>
  <c r="C392" i="1" s="1"/>
  <c r="C395" i="1" s="1"/>
  <c r="C410" i="1" s="1"/>
  <c r="C413" i="1" s="1"/>
  <c r="C416" i="1" s="1"/>
  <c r="G388" i="1"/>
  <c r="Q388" i="1"/>
  <c r="W388" i="1" s="1"/>
  <c r="G391" i="1"/>
  <c r="Q391" i="1"/>
  <c r="G394" i="1"/>
  <c r="Q394" i="1"/>
  <c r="W394" i="1"/>
  <c r="O395" i="1"/>
  <c r="O410" i="1" s="1"/>
  <c r="O413" i="1" s="1"/>
  <c r="G409" i="1"/>
  <c r="Q409" i="1"/>
  <c r="W409" i="1"/>
  <c r="G412" i="1"/>
  <c r="W412" i="1" s="1"/>
  <c r="Q412" i="1"/>
  <c r="G415" i="1"/>
  <c r="Q415" i="1"/>
  <c r="W415" i="1"/>
  <c r="O416" i="1"/>
  <c r="O419" i="1" s="1"/>
  <c r="O422" i="1" s="1"/>
  <c r="O425" i="1" s="1"/>
  <c r="O428" i="1" s="1"/>
  <c r="O431" i="1" s="1"/>
  <c r="O434" i="1" s="1"/>
  <c r="O437" i="1" s="1"/>
  <c r="O440" i="1" s="1"/>
  <c r="O443" i="1" s="1"/>
  <c r="O458" i="1" s="1"/>
  <c r="O461" i="1" s="1"/>
  <c r="O464" i="1" s="1"/>
  <c r="O467" i="1" s="1"/>
  <c r="O470" i="1" s="1"/>
  <c r="O473" i="1" s="1"/>
  <c r="O476" i="1" s="1"/>
  <c r="O479" i="1" s="1"/>
  <c r="O482" i="1" s="1"/>
  <c r="O485" i="1" s="1"/>
  <c r="O488" i="1" s="1"/>
  <c r="O491" i="1" s="1"/>
  <c r="O506" i="1" s="1"/>
  <c r="O509" i="1" s="1"/>
  <c r="O512" i="1" s="1"/>
  <c r="O515" i="1" s="1"/>
  <c r="O518" i="1" s="1"/>
  <c r="O521" i="1" s="1"/>
  <c r="O524" i="1" s="1"/>
  <c r="O527" i="1" s="1"/>
  <c r="O530" i="1" s="1"/>
  <c r="O533" i="1" s="1"/>
  <c r="O536" i="1" s="1"/>
  <c r="O539" i="1" s="1"/>
  <c r="O554" i="1" s="1"/>
  <c r="O557" i="1" s="1"/>
  <c r="O560" i="1" s="1"/>
  <c r="O563" i="1" s="1"/>
  <c r="O566" i="1" s="1"/>
  <c r="O569" i="1" s="1"/>
  <c r="O572" i="1" s="1"/>
  <c r="O575" i="1" s="1"/>
  <c r="O578" i="1" s="1"/>
  <c r="O581" i="1" s="1"/>
  <c r="O584" i="1" s="1"/>
  <c r="O587" i="1" s="1"/>
  <c r="O602" i="1" s="1"/>
  <c r="O605" i="1" s="1"/>
  <c r="O608" i="1" s="1"/>
  <c r="O611" i="1" s="1"/>
  <c r="O614" i="1" s="1"/>
  <c r="O617" i="1" s="1"/>
  <c r="O620" i="1" s="1"/>
  <c r="O623" i="1" s="1"/>
  <c r="O626" i="1" s="1"/>
  <c r="O629" i="1" s="1"/>
  <c r="O632" i="1" s="1"/>
  <c r="O635" i="1" s="1"/>
  <c r="O650" i="1" s="1"/>
  <c r="O653" i="1" s="1"/>
  <c r="O656" i="1" s="1"/>
  <c r="O659" i="1" s="1"/>
  <c r="O662" i="1" s="1"/>
  <c r="O665" i="1" s="1"/>
  <c r="O668" i="1" s="1"/>
  <c r="O671" i="1" s="1"/>
  <c r="O674" i="1" s="1"/>
  <c r="O677" i="1" s="1"/>
  <c r="O680" i="1" s="1"/>
  <c r="O683" i="1" s="1"/>
  <c r="O698" i="1" s="1"/>
  <c r="O701" i="1" s="1"/>
  <c r="O704" i="1" s="1"/>
  <c r="O707" i="1" s="1"/>
  <c r="O710" i="1" s="1"/>
  <c r="O713" i="1" s="1"/>
  <c r="O716" i="1" s="1"/>
  <c r="O719" i="1" s="1"/>
  <c r="O722" i="1" s="1"/>
  <c r="O725" i="1" s="1"/>
  <c r="O728" i="1" s="1"/>
  <c r="O731" i="1" s="1"/>
  <c r="O746" i="1" s="1"/>
  <c r="O749" i="1" s="1"/>
  <c r="O752" i="1" s="1"/>
  <c r="O755" i="1" s="1"/>
  <c r="O758" i="1" s="1"/>
  <c r="O761" i="1" s="1"/>
  <c r="O764" i="1" s="1"/>
  <c r="O767" i="1" s="1"/>
  <c r="O770" i="1" s="1"/>
  <c r="O773" i="1" s="1"/>
  <c r="O776" i="1" s="1"/>
  <c r="O779" i="1" s="1"/>
  <c r="O794" i="1" s="1"/>
  <c r="O797" i="1" s="1"/>
  <c r="O800" i="1" s="1"/>
  <c r="O803" i="1" s="1"/>
  <c r="O806" i="1" s="1"/>
  <c r="O809" i="1" s="1"/>
  <c r="O812" i="1" s="1"/>
  <c r="O815" i="1" s="1"/>
  <c r="O818" i="1" s="1"/>
  <c r="O821" i="1" s="1"/>
  <c r="O824" i="1" s="1"/>
  <c r="O827" i="1" s="1"/>
  <c r="O842" i="1" s="1"/>
  <c r="O845" i="1" s="1"/>
  <c r="O848" i="1" s="1"/>
  <c r="O851" i="1" s="1"/>
  <c r="O854" i="1" s="1"/>
  <c r="O857" i="1" s="1"/>
  <c r="O860" i="1" s="1"/>
  <c r="O863" i="1" s="1"/>
  <c r="O866" i="1" s="1"/>
  <c r="O869" i="1" s="1"/>
  <c r="O872" i="1" s="1"/>
  <c r="O875" i="1" s="1"/>
  <c r="O890" i="1" s="1"/>
  <c r="O893" i="1" s="1"/>
  <c r="O896" i="1" s="1"/>
  <c r="O899" i="1" s="1"/>
  <c r="O902" i="1" s="1"/>
  <c r="O905" i="1" s="1"/>
  <c r="O908" i="1" s="1"/>
  <c r="O911" i="1" s="1"/>
  <c r="O914" i="1" s="1"/>
  <c r="O917" i="1" s="1"/>
  <c r="O920" i="1" s="1"/>
  <c r="O923" i="1" s="1"/>
  <c r="O938" i="1" s="1"/>
  <c r="O941" i="1" s="1"/>
  <c r="O944" i="1" s="1"/>
  <c r="O947" i="1" s="1"/>
  <c r="O950" i="1" s="1"/>
  <c r="O953" i="1" s="1"/>
  <c r="O956" i="1" s="1"/>
  <c r="O959" i="1" s="1"/>
  <c r="O962" i="1" s="1"/>
  <c r="O965" i="1" s="1"/>
  <c r="O968" i="1" s="1"/>
  <c r="O971" i="1" s="1"/>
  <c r="O986" i="1" s="1"/>
  <c r="O989" i="1" s="1"/>
  <c r="O992" i="1" s="1"/>
  <c r="O995" i="1" s="1"/>
  <c r="O998" i="1" s="1"/>
  <c r="O1001" i="1" s="1"/>
  <c r="O1004" i="1" s="1"/>
  <c r="O1007" i="1" s="1"/>
  <c r="O1010" i="1" s="1"/>
  <c r="O1013" i="1" s="1"/>
  <c r="O1016" i="1" s="1"/>
  <c r="O1019" i="1" s="1"/>
  <c r="O1034" i="1" s="1"/>
  <c r="O1037" i="1" s="1"/>
  <c r="O1040" i="1" s="1"/>
  <c r="O1043" i="1" s="1"/>
  <c r="O1046" i="1" s="1"/>
  <c r="O1049" i="1" s="1"/>
  <c r="O1052" i="1" s="1"/>
  <c r="O1055" i="1" s="1"/>
  <c r="O1058" i="1" s="1"/>
  <c r="O1061" i="1" s="1"/>
  <c r="O1064" i="1" s="1"/>
  <c r="O1067" i="1" s="1"/>
  <c r="O1082" i="1" s="1"/>
  <c r="O1085" i="1" s="1"/>
  <c r="O1088" i="1" s="1"/>
  <c r="O1091" i="1" s="1"/>
  <c r="O1094" i="1" s="1"/>
  <c r="O1097" i="1" s="1"/>
  <c r="O1100" i="1" s="1"/>
  <c r="O1103" i="1" s="1"/>
  <c r="O1106" i="1" s="1"/>
  <c r="O1109" i="1" s="1"/>
  <c r="O1112" i="1" s="1"/>
  <c r="O1115" i="1" s="1"/>
  <c r="G418" i="1"/>
  <c r="W418" i="1" s="1"/>
  <c r="Q418" i="1"/>
  <c r="C419" i="1"/>
  <c r="C422" i="1" s="1"/>
  <c r="C425" i="1" s="1"/>
  <c r="C428" i="1" s="1"/>
  <c r="C431" i="1" s="1"/>
  <c r="C434" i="1" s="1"/>
  <c r="C437" i="1" s="1"/>
  <c r="C440" i="1" s="1"/>
  <c r="C443" i="1" s="1"/>
  <c r="C458" i="1" s="1"/>
  <c r="C461" i="1" s="1"/>
  <c r="C464" i="1" s="1"/>
  <c r="C467" i="1" s="1"/>
  <c r="C470" i="1" s="1"/>
  <c r="C473" i="1" s="1"/>
  <c r="C476" i="1" s="1"/>
  <c r="C479" i="1" s="1"/>
  <c r="C482" i="1" s="1"/>
  <c r="C485" i="1" s="1"/>
  <c r="C488" i="1" s="1"/>
  <c r="C491" i="1" s="1"/>
  <c r="C506" i="1" s="1"/>
  <c r="C509" i="1" s="1"/>
  <c r="C512" i="1" s="1"/>
  <c r="C515" i="1" s="1"/>
  <c r="C518" i="1" s="1"/>
  <c r="C521" i="1" s="1"/>
  <c r="C524" i="1" s="1"/>
  <c r="G421" i="1"/>
  <c r="Q421" i="1"/>
  <c r="W421" i="1" s="1"/>
  <c r="G424" i="1"/>
  <c r="W424" i="1" s="1"/>
  <c r="Q424" i="1"/>
  <c r="G427" i="1"/>
  <c r="Q427" i="1"/>
  <c r="G430" i="1"/>
  <c r="Q430" i="1"/>
  <c r="W430" i="1" s="1"/>
  <c r="G433" i="1"/>
  <c r="Q433" i="1"/>
  <c r="G436" i="1"/>
  <c r="Q436" i="1"/>
  <c r="W436" i="1" s="1"/>
  <c r="G439" i="1"/>
  <c r="Q439" i="1"/>
  <c r="B440" i="1"/>
  <c r="B443" i="1" s="1"/>
  <c r="B458" i="1" s="1"/>
  <c r="B461" i="1" s="1"/>
  <c r="B464" i="1" s="1"/>
  <c r="B467" i="1" s="1"/>
  <c r="B470" i="1" s="1"/>
  <c r="B473" i="1" s="1"/>
  <c r="B476" i="1" s="1"/>
  <c r="B479" i="1" s="1"/>
  <c r="B482" i="1" s="1"/>
  <c r="B485" i="1" s="1"/>
  <c r="B488" i="1" s="1"/>
  <c r="B491" i="1" s="1"/>
  <c r="B506" i="1" s="1"/>
  <c r="B509" i="1" s="1"/>
  <c r="B512" i="1" s="1"/>
  <c r="B515" i="1" s="1"/>
  <c r="B518" i="1" s="1"/>
  <c r="B521" i="1" s="1"/>
  <c r="B524" i="1" s="1"/>
  <c r="B527" i="1" s="1"/>
  <c r="B530" i="1" s="1"/>
  <c r="B533" i="1" s="1"/>
  <c r="B536" i="1" s="1"/>
  <c r="B539" i="1" s="1"/>
  <c r="B554" i="1" s="1"/>
  <c r="B557" i="1" s="1"/>
  <c r="B560" i="1" s="1"/>
  <c r="B563" i="1" s="1"/>
  <c r="B566" i="1" s="1"/>
  <c r="B569" i="1" s="1"/>
  <c r="B572" i="1" s="1"/>
  <c r="B575" i="1" s="1"/>
  <c r="B578" i="1" s="1"/>
  <c r="B581" i="1" s="1"/>
  <c r="B584" i="1" s="1"/>
  <c r="B587" i="1" s="1"/>
  <c r="B602" i="1" s="1"/>
  <c r="B605" i="1" s="1"/>
  <c r="B608" i="1" s="1"/>
  <c r="B611" i="1" s="1"/>
  <c r="B614" i="1" s="1"/>
  <c r="B617" i="1" s="1"/>
  <c r="B620" i="1" s="1"/>
  <c r="B623" i="1" s="1"/>
  <c r="B626" i="1" s="1"/>
  <c r="B629" i="1" s="1"/>
  <c r="B632" i="1" s="1"/>
  <c r="B635" i="1" s="1"/>
  <c r="B650" i="1" s="1"/>
  <c r="B653" i="1" s="1"/>
  <c r="B656" i="1" s="1"/>
  <c r="B659" i="1" s="1"/>
  <c r="B662" i="1" s="1"/>
  <c r="B665" i="1" s="1"/>
  <c r="B668" i="1" s="1"/>
  <c r="B671" i="1" s="1"/>
  <c r="B674" i="1" s="1"/>
  <c r="B677" i="1" s="1"/>
  <c r="B680" i="1" s="1"/>
  <c r="B683" i="1" s="1"/>
  <c r="B698" i="1" s="1"/>
  <c r="B701" i="1" s="1"/>
  <c r="B704" i="1" s="1"/>
  <c r="B707" i="1" s="1"/>
  <c r="B710" i="1" s="1"/>
  <c r="B713" i="1" s="1"/>
  <c r="B716" i="1" s="1"/>
  <c r="B719" i="1" s="1"/>
  <c r="B722" i="1" s="1"/>
  <c r="B725" i="1" s="1"/>
  <c r="B728" i="1" s="1"/>
  <c r="B731" i="1" s="1"/>
  <c r="B746" i="1" s="1"/>
  <c r="B749" i="1" s="1"/>
  <c r="B752" i="1" s="1"/>
  <c r="B755" i="1" s="1"/>
  <c r="B758" i="1" s="1"/>
  <c r="B761" i="1" s="1"/>
  <c r="B764" i="1" s="1"/>
  <c r="B767" i="1" s="1"/>
  <c r="B770" i="1" s="1"/>
  <c r="B773" i="1" s="1"/>
  <c r="B776" i="1" s="1"/>
  <c r="B779" i="1" s="1"/>
  <c r="B794" i="1" s="1"/>
  <c r="B797" i="1" s="1"/>
  <c r="B800" i="1" s="1"/>
  <c r="B803" i="1" s="1"/>
  <c r="B806" i="1" s="1"/>
  <c r="B809" i="1" s="1"/>
  <c r="B812" i="1" s="1"/>
  <c r="B815" i="1" s="1"/>
  <c r="B818" i="1" s="1"/>
  <c r="B821" i="1" s="1"/>
  <c r="B824" i="1" s="1"/>
  <c r="B827" i="1" s="1"/>
  <c r="B842" i="1" s="1"/>
  <c r="B845" i="1" s="1"/>
  <c r="B848" i="1" s="1"/>
  <c r="B851" i="1" s="1"/>
  <c r="B854" i="1" s="1"/>
  <c r="B857" i="1" s="1"/>
  <c r="B860" i="1" s="1"/>
  <c r="B863" i="1" s="1"/>
  <c r="B866" i="1" s="1"/>
  <c r="B869" i="1" s="1"/>
  <c r="B872" i="1" s="1"/>
  <c r="B875" i="1" s="1"/>
  <c r="B890" i="1" s="1"/>
  <c r="B893" i="1" s="1"/>
  <c r="B896" i="1" s="1"/>
  <c r="B899" i="1" s="1"/>
  <c r="B902" i="1" s="1"/>
  <c r="B905" i="1" s="1"/>
  <c r="B908" i="1" s="1"/>
  <c r="B911" i="1" s="1"/>
  <c r="B914" i="1" s="1"/>
  <c r="B917" i="1" s="1"/>
  <c r="B920" i="1" s="1"/>
  <c r="B923" i="1" s="1"/>
  <c r="B938" i="1" s="1"/>
  <c r="B941" i="1" s="1"/>
  <c r="B944" i="1" s="1"/>
  <c r="B947" i="1" s="1"/>
  <c r="B950" i="1" s="1"/>
  <c r="B953" i="1" s="1"/>
  <c r="B956" i="1" s="1"/>
  <c r="B959" i="1" s="1"/>
  <c r="B962" i="1" s="1"/>
  <c r="B965" i="1" s="1"/>
  <c r="B968" i="1" s="1"/>
  <c r="B971" i="1" s="1"/>
  <c r="B986" i="1" s="1"/>
  <c r="B989" i="1" s="1"/>
  <c r="B992" i="1" s="1"/>
  <c r="B995" i="1" s="1"/>
  <c r="B998" i="1" s="1"/>
  <c r="B1001" i="1" s="1"/>
  <c r="B1004" i="1" s="1"/>
  <c r="B1007" i="1" s="1"/>
  <c r="B1010" i="1" s="1"/>
  <c r="B1013" i="1" s="1"/>
  <c r="B1016" i="1" s="1"/>
  <c r="B1019" i="1" s="1"/>
  <c r="B1034" i="1" s="1"/>
  <c r="B1037" i="1" s="1"/>
  <c r="B1040" i="1" s="1"/>
  <c r="B1043" i="1" s="1"/>
  <c r="B1046" i="1" s="1"/>
  <c r="B1049" i="1" s="1"/>
  <c r="B1052" i="1" s="1"/>
  <c r="B1055" i="1" s="1"/>
  <c r="B1058" i="1" s="1"/>
  <c r="B1061" i="1" s="1"/>
  <c r="B1064" i="1" s="1"/>
  <c r="B1067" i="1" s="1"/>
  <c r="B1082" i="1" s="1"/>
  <c r="B1085" i="1" s="1"/>
  <c r="B1088" i="1" s="1"/>
  <c r="B1091" i="1" s="1"/>
  <c r="B1094" i="1" s="1"/>
  <c r="B1097" i="1" s="1"/>
  <c r="B1100" i="1" s="1"/>
  <c r="B1103" i="1" s="1"/>
  <c r="B1106" i="1" s="1"/>
  <c r="B1109" i="1" s="1"/>
  <c r="B1112" i="1" s="1"/>
  <c r="B1115" i="1" s="1"/>
  <c r="G442" i="1"/>
  <c r="Q442" i="1"/>
  <c r="W442" i="1"/>
  <c r="G457" i="1"/>
  <c r="Q457" i="1"/>
  <c r="W457" i="1" s="1"/>
  <c r="G460" i="1"/>
  <c r="Q460" i="1"/>
  <c r="W460" i="1"/>
  <c r="G463" i="1"/>
  <c r="Q463" i="1"/>
  <c r="G466" i="1"/>
  <c r="Q466" i="1"/>
  <c r="W466" i="1" s="1"/>
  <c r="G469" i="1"/>
  <c r="Q469" i="1"/>
  <c r="G472" i="1"/>
  <c r="Q472" i="1"/>
  <c r="W472" i="1" s="1"/>
  <c r="G475" i="1"/>
  <c r="W475" i="1" s="1"/>
  <c r="Q475" i="1"/>
  <c r="G478" i="1"/>
  <c r="Q478" i="1"/>
  <c r="W478" i="1"/>
  <c r="G481" i="1"/>
  <c r="W481" i="1" s="1"/>
  <c r="Q481" i="1"/>
  <c r="G484" i="1"/>
  <c r="Q484" i="1"/>
  <c r="G487" i="1"/>
  <c r="W487" i="1" s="1"/>
  <c r="Q487" i="1"/>
  <c r="I488" i="1"/>
  <c r="I491" i="1" s="1"/>
  <c r="I506" i="1" s="1"/>
  <c r="I509" i="1" s="1"/>
  <c r="I512" i="1" s="1"/>
  <c r="I515" i="1" s="1"/>
  <c r="I518" i="1" s="1"/>
  <c r="I521" i="1" s="1"/>
  <c r="I524" i="1" s="1"/>
  <c r="I527" i="1" s="1"/>
  <c r="G490" i="1"/>
  <c r="Q490" i="1"/>
  <c r="W490" i="1" s="1"/>
  <c r="G505" i="1"/>
  <c r="Q505" i="1"/>
  <c r="W505" i="1"/>
  <c r="E506" i="1"/>
  <c r="E509" i="1" s="1"/>
  <c r="E512" i="1" s="1"/>
  <c r="E515" i="1" s="1"/>
  <c r="E518" i="1" s="1"/>
  <c r="E521" i="1" s="1"/>
  <c r="E524" i="1" s="1"/>
  <c r="E527" i="1" s="1"/>
  <c r="E530" i="1" s="1"/>
  <c r="E533" i="1" s="1"/>
  <c r="E536" i="1" s="1"/>
  <c r="E539" i="1" s="1"/>
  <c r="E554" i="1" s="1"/>
  <c r="E557" i="1" s="1"/>
  <c r="E560" i="1" s="1"/>
  <c r="E563" i="1" s="1"/>
  <c r="E566" i="1" s="1"/>
  <c r="E569" i="1" s="1"/>
  <c r="E572" i="1" s="1"/>
  <c r="E575" i="1" s="1"/>
  <c r="E578" i="1" s="1"/>
  <c r="E581" i="1" s="1"/>
  <c r="E584" i="1" s="1"/>
  <c r="E587" i="1" s="1"/>
  <c r="E602" i="1" s="1"/>
  <c r="E605" i="1" s="1"/>
  <c r="E608" i="1" s="1"/>
  <c r="E611" i="1" s="1"/>
  <c r="E614" i="1" s="1"/>
  <c r="E617" i="1" s="1"/>
  <c r="E620" i="1" s="1"/>
  <c r="E623" i="1" s="1"/>
  <c r="E626" i="1" s="1"/>
  <c r="E629" i="1" s="1"/>
  <c r="E632" i="1" s="1"/>
  <c r="E635" i="1" s="1"/>
  <c r="E650" i="1" s="1"/>
  <c r="E653" i="1" s="1"/>
  <c r="E656" i="1" s="1"/>
  <c r="E659" i="1" s="1"/>
  <c r="E662" i="1" s="1"/>
  <c r="E665" i="1" s="1"/>
  <c r="E668" i="1" s="1"/>
  <c r="E671" i="1" s="1"/>
  <c r="E674" i="1" s="1"/>
  <c r="E677" i="1" s="1"/>
  <c r="E680" i="1" s="1"/>
  <c r="E683" i="1" s="1"/>
  <c r="G508" i="1"/>
  <c r="Q508" i="1"/>
  <c r="G511" i="1"/>
  <c r="Q511" i="1"/>
  <c r="W511" i="1"/>
  <c r="G514" i="1"/>
  <c r="Q514" i="1"/>
  <c r="W514" i="1" s="1"/>
  <c r="G517" i="1"/>
  <c r="W517" i="1" s="1"/>
  <c r="Q517" i="1"/>
  <c r="G520" i="1"/>
  <c r="Q520" i="1"/>
  <c r="G523" i="1"/>
  <c r="Q523" i="1"/>
  <c r="W523" i="1"/>
  <c r="G526" i="1"/>
  <c r="Q526" i="1"/>
  <c r="W526" i="1" s="1"/>
  <c r="C527" i="1"/>
  <c r="C530" i="1" s="1"/>
  <c r="C533" i="1" s="1"/>
  <c r="C536" i="1" s="1"/>
  <c r="C539" i="1" s="1"/>
  <c r="C554" i="1" s="1"/>
  <c r="C557" i="1" s="1"/>
  <c r="C560" i="1" s="1"/>
  <c r="C563" i="1" s="1"/>
  <c r="C566" i="1" s="1"/>
  <c r="C569" i="1" s="1"/>
  <c r="C572" i="1" s="1"/>
  <c r="C575" i="1" s="1"/>
  <c r="C578" i="1" s="1"/>
  <c r="C581" i="1" s="1"/>
  <c r="C584" i="1" s="1"/>
  <c r="C587" i="1" s="1"/>
  <c r="C602" i="1" s="1"/>
  <c r="C605" i="1" s="1"/>
  <c r="C608" i="1" s="1"/>
  <c r="C611" i="1" s="1"/>
  <c r="C614" i="1" s="1"/>
  <c r="C617" i="1" s="1"/>
  <c r="C620" i="1" s="1"/>
  <c r="C623" i="1" s="1"/>
  <c r="C626" i="1" s="1"/>
  <c r="C629" i="1" s="1"/>
  <c r="C632" i="1" s="1"/>
  <c r="C635" i="1" s="1"/>
  <c r="C650" i="1" s="1"/>
  <c r="C653" i="1" s="1"/>
  <c r="C656" i="1" s="1"/>
  <c r="C659" i="1" s="1"/>
  <c r="C662" i="1" s="1"/>
  <c r="C665" i="1" s="1"/>
  <c r="C668" i="1" s="1"/>
  <c r="C671" i="1" s="1"/>
  <c r="C674" i="1" s="1"/>
  <c r="C677" i="1" s="1"/>
  <c r="C680" i="1" s="1"/>
  <c r="C683" i="1" s="1"/>
  <c r="C698" i="1" s="1"/>
  <c r="G529" i="1"/>
  <c r="Q529" i="1"/>
  <c r="W529" i="1"/>
  <c r="I530" i="1"/>
  <c r="I533" i="1" s="1"/>
  <c r="I536" i="1" s="1"/>
  <c r="I539" i="1" s="1"/>
  <c r="I554" i="1" s="1"/>
  <c r="I557" i="1" s="1"/>
  <c r="I560" i="1" s="1"/>
  <c r="I563" i="1" s="1"/>
  <c r="I566" i="1" s="1"/>
  <c r="I569" i="1" s="1"/>
  <c r="I572" i="1" s="1"/>
  <c r="I575" i="1" s="1"/>
  <c r="I578" i="1" s="1"/>
  <c r="I581" i="1" s="1"/>
  <c r="I584" i="1" s="1"/>
  <c r="I587" i="1" s="1"/>
  <c r="I602" i="1" s="1"/>
  <c r="G532" i="1"/>
  <c r="Q532" i="1"/>
  <c r="G535" i="1"/>
  <c r="W535" i="1" s="1"/>
  <c r="Q535" i="1"/>
  <c r="G538" i="1"/>
  <c r="Q538" i="1"/>
  <c r="W538" i="1" s="1"/>
  <c r="G553" i="1"/>
  <c r="Q553" i="1"/>
  <c r="W553" i="1"/>
  <c r="G556" i="1"/>
  <c r="Q556" i="1"/>
  <c r="G559" i="1"/>
  <c r="W559" i="1" s="1"/>
  <c r="Q559" i="1"/>
  <c r="G562" i="1"/>
  <c r="Q562" i="1"/>
  <c r="W562" i="1" s="1"/>
  <c r="S563" i="1"/>
  <c r="G565" i="1"/>
  <c r="Q565" i="1"/>
  <c r="W565" i="1" s="1"/>
  <c r="S566" i="1"/>
  <c r="S569" i="1" s="1"/>
  <c r="G568" i="1"/>
  <c r="W568" i="1" s="1"/>
  <c r="Q568" i="1"/>
  <c r="G571" i="1"/>
  <c r="Q571" i="1"/>
  <c r="W571" i="1"/>
  <c r="S572" i="1"/>
  <c r="S575" i="1" s="1"/>
  <c r="T572" i="1"/>
  <c r="G574" i="1"/>
  <c r="Q574" i="1"/>
  <c r="S574" i="1"/>
  <c r="W574" i="1"/>
  <c r="T575" i="1"/>
  <c r="G577" i="1"/>
  <c r="Q577" i="1"/>
  <c r="W577" i="1" s="1"/>
  <c r="S578" i="1"/>
  <c r="S581" i="1" s="1"/>
  <c r="T578" i="1"/>
  <c r="G580" i="1"/>
  <c r="Q580" i="1"/>
  <c r="W580" i="1" s="1"/>
  <c r="T581" i="1"/>
  <c r="T584" i="1" s="1"/>
  <c r="T587" i="1" s="1"/>
  <c r="G583" i="1"/>
  <c r="Q583" i="1"/>
  <c r="W583" i="1" s="1"/>
  <c r="S584" i="1"/>
  <c r="S587" i="1" s="1"/>
  <c r="S602" i="1" s="1"/>
  <c r="S605" i="1" s="1"/>
  <c r="G586" i="1"/>
  <c r="Q586" i="1"/>
  <c r="W586" i="1" s="1"/>
  <c r="G601" i="1"/>
  <c r="W601" i="1" s="1"/>
  <c r="Q601" i="1"/>
  <c r="T602" i="1"/>
  <c r="T605" i="1" s="1"/>
  <c r="T608" i="1" s="1"/>
  <c r="T611" i="1" s="1"/>
  <c r="T614" i="1" s="1"/>
  <c r="T617" i="1" s="1"/>
  <c r="T620" i="1" s="1"/>
  <c r="T623" i="1" s="1"/>
  <c r="T626" i="1" s="1"/>
  <c r="G604" i="1"/>
  <c r="Q604" i="1"/>
  <c r="W604" i="1" s="1"/>
  <c r="I605" i="1"/>
  <c r="I608" i="1" s="1"/>
  <c r="I611" i="1" s="1"/>
  <c r="I614" i="1" s="1"/>
  <c r="I617" i="1" s="1"/>
  <c r="I620" i="1" s="1"/>
  <c r="I623" i="1" s="1"/>
  <c r="I626" i="1" s="1"/>
  <c r="I629" i="1" s="1"/>
  <c r="I632" i="1" s="1"/>
  <c r="I635" i="1" s="1"/>
  <c r="I650" i="1" s="1"/>
  <c r="I653" i="1" s="1"/>
  <c r="I656" i="1" s="1"/>
  <c r="I659" i="1" s="1"/>
  <c r="I662" i="1" s="1"/>
  <c r="I665" i="1" s="1"/>
  <c r="I668" i="1" s="1"/>
  <c r="I671" i="1" s="1"/>
  <c r="I674" i="1" s="1"/>
  <c r="I677" i="1" s="1"/>
  <c r="I680" i="1" s="1"/>
  <c r="I683" i="1" s="1"/>
  <c r="I698" i="1" s="1"/>
  <c r="I701" i="1" s="1"/>
  <c r="I704" i="1" s="1"/>
  <c r="I707" i="1" s="1"/>
  <c r="I710" i="1" s="1"/>
  <c r="I713" i="1" s="1"/>
  <c r="I716" i="1" s="1"/>
  <c r="I719" i="1" s="1"/>
  <c r="I722" i="1" s="1"/>
  <c r="I725" i="1" s="1"/>
  <c r="I728" i="1" s="1"/>
  <c r="I731" i="1" s="1"/>
  <c r="I746" i="1" s="1"/>
  <c r="I749" i="1" s="1"/>
  <c r="I752" i="1" s="1"/>
  <c r="I755" i="1" s="1"/>
  <c r="I758" i="1" s="1"/>
  <c r="I761" i="1" s="1"/>
  <c r="I764" i="1" s="1"/>
  <c r="I767" i="1" s="1"/>
  <c r="I770" i="1" s="1"/>
  <c r="I773" i="1" s="1"/>
  <c r="I776" i="1" s="1"/>
  <c r="I779" i="1" s="1"/>
  <c r="I794" i="1" s="1"/>
  <c r="I797" i="1" s="1"/>
  <c r="I800" i="1" s="1"/>
  <c r="I803" i="1" s="1"/>
  <c r="I806" i="1" s="1"/>
  <c r="I809" i="1" s="1"/>
  <c r="I812" i="1" s="1"/>
  <c r="I815" i="1" s="1"/>
  <c r="I818" i="1" s="1"/>
  <c r="I821" i="1" s="1"/>
  <c r="I824" i="1" s="1"/>
  <c r="I827" i="1" s="1"/>
  <c r="I842" i="1" s="1"/>
  <c r="I845" i="1" s="1"/>
  <c r="I848" i="1" s="1"/>
  <c r="I851" i="1" s="1"/>
  <c r="I854" i="1" s="1"/>
  <c r="I857" i="1" s="1"/>
  <c r="I860" i="1" s="1"/>
  <c r="I863" i="1" s="1"/>
  <c r="I866" i="1" s="1"/>
  <c r="I869" i="1" s="1"/>
  <c r="I872" i="1" s="1"/>
  <c r="I875" i="1" s="1"/>
  <c r="I890" i="1" s="1"/>
  <c r="I893" i="1" s="1"/>
  <c r="I896" i="1" s="1"/>
  <c r="I899" i="1" s="1"/>
  <c r="I902" i="1" s="1"/>
  <c r="I905" i="1" s="1"/>
  <c r="I908" i="1" s="1"/>
  <c r="I911" i="1" s="1"/>
  <c r="I914" i="1" s="1"/>
  <c r="I917" i="1" s="1"/>
  <c r="I920" i="1" s="1"/>
  <c r="I923" i="1" s="1"/>
  <c r="I938" i="1" s="1"/>
  <c r="I941" i="1" s="1"/>
  <c r="I944" i="1" s="1"/>
  <c r="I947" i="1" s="1"/>
  <c r="I950" i="1" s="1"/>
  <c r="I953" i="1" s="1"/>
  <c r="I956" i="1" s="1"/>
  <c r="I959" i="1" s="1"/>
  <c r="I962" i="1" s="1"/>
  <c r="I965" i="1" s="1"/>
  <c r="I968" i="1" s="1"/>
  <c r="I971" i="1" s="1"/>
  <c r="G607" i="1"/>
  <c r="Q607" i="1"/>
  <c r="T607" i="1"/>
  <c r="V607" i="1"/>
  <c r="V639" i="1" s="1"/>
  <c r="S608" i="1"/>
  <c r="S611" i="1" s="1"/>
  <c r="S614" i="1" s="1"/>
  <c r="S617" i="1" s="1"/>
  <c r="S620" i="1" s="1"/>
  <c r="S623" i="1" s="1"/>
  <c r="S626" i="1" s="1"/>
  <c r="S629" i="1" s="1"/>
  <c r="S632" i="1" s="1"/>
  <c r="S635" i="1" s="1"/>
  <c r="S650" i="1" s="1"/>
  <c r="S653" i="1" s="1"/>
  <c r="S656" i="1" s="1"/>
  <c r="S659" i="1" s="1"/>
  <c r="S662" i="1" s="1"/>
  <c r="U608" i="1"/>
  <c r="V608" i="1"/>
  <c r="G610" i="1"/>
  <c r="Q610" i="1"/>
  <c r="W610" i="1"/>
  <c r="U611" i="1"/>
  <c r="V611" i="1"/>
  <c r="V614" i="1" s="1"/>
  <c r="V617" i="1" s="1"/>
  <c r="V620" i="1" s="1"/>
  <c r="V623" i="1" s="1"/>
  <c r="V626" i="1" s="1"/>
  <c r="V629" i="1" s="1"/>
  <c r="V632" i="1" s="1"/>
  <c r="V635" i="1" s="1"/>
  <c r="V650" i="1" s="1"/>
  <c r="V653" i="1" s="1"/>
  <c r="V656" i="1" s="1"/>
  <c r="V659" i="1" s="1"/>
  <c r="V662" i="1" s="1"/>
  <c r="V665" i="1" s="1"/>
  <c r="V668" i="1" s="1"/>
  <c r="V671" i="1" s="1"/>
  <c r="V674" i="1" s="1"/>
  <c r="V677" i="1" s="1"/>
  <c r="V680" i="1" s="1"/>
  <c r="V683" i="1" s="1"/>
  <c r="V698" i="1" s="1"/>
  <c r="V701" i="1" s="1"/>
  <c r="V704" i="1" s="1"/>
  <c r="V707" i="1" s="1"/>
  <c r="V710" i="1" s="1"/>
  <c r="V713" i="1" s="1"/>
  <c r="V716" i="1" s="1"/>
  <c r="V719" i="1" s="1"/>
  <c r="V722" i="1" s="1"/>
  <c r="V725" i="1" s="1"/>
  <c r="V728" i="1" s="1"/>
  <c r="V731" i="1" s="1"/>
  <c r="V746" i="1" s="1"/>
  <c r="V749" i="1" s="1"/>
  <c r="V752" i="1" s="1"/>
  <c r="V755" i="1" s="1"/>
  <c r="V758" i="1" s="1"/>
  <c r="V761" i="1" s="1"/>
  <c r="V764" i="1" s="1"/>
  <c r="V767" i="1" s="1"/>
  <c r="V770" i="1" s="1"/>
  <c r="V773" i="1" s="1"/>
  <c r="V776" i="1" s="1"/>
  <c r="V779" i="1" s="1"/>
  <c r="V794" i="1" s="1"/>
  <c r="V797" i="1" s="1"/>
  <c r="V800" i="1" s="1"/>
  <c r="V803" i="1" s="1"/>
  <c r="V806" i="1" s="1"/>
  <c r="V809" i="1" s="1"/>
  <c r="V812" i="1" s="1"/>
  <c r="V815" i="1" s="1"/>
  <c r="V818" i="1" s="1"/>
  <c r="V821" i="1" s="1"/>
  <c r="V824" i="1" s="1"/>
  <c r="V827" i="1" s="1"/>
  <c r="V842" i="1" s="1"/>
  <c r="V845" i="1" s="1"/>
  <c r="V848" i="1" s="1"/>
  <c r="V851" i="1" s="1"/>
  <c r="V854" i="1" s="1"/>
  <c r="V857" i="1" s="1"/>
  <c r="V860" i="1" s="1"/>
  <c r="V863" i="1" s="1"/>
  <c r="V866" i="1" s="1"/>
  <c r="V869" i="1" s="1"/>
  <c r="V872" i="1" s="1"/>
  <c r="V875" i="1" s="1"/>
  <c r="V890" i="1" s="1"/>
  <c r="V893" i="1" s="1"/>
  <c r="V896" i="1" s="1"/>
  <c r="V899" i="1" s="1"/>
  <c r="V902" i="1" s="1"/>
  <c r="V905" i="1" s="1"/>
  <c r="V908" i="1" s="1"/>
  <c r="V911" i="1" s="1"/>
  <c r="V914" i="1" s="1"/>
  <c r="V917" i="1" s="1"/>
  <c r="V920" i="1" s="1"/>
  <c r="V923" i="1" s="1"/>
  <c r="V938" i="1" s="1"/>
  <c r="V941" i="1" s="1"/>
  <c r="V944" i="1" s="1"/>
  <c r="V947" i="1" s="1"/>
  <c r="V950" i="1" s="1"/>
  <c r="V953" i="1" s="1"/>
  <c r="V956" i="1" s="1"/>
  <c r="V959" i="1" s="1"/>
  <c r="V962" i="1" s="1"/>
  <c r="V965" i="1" s="1"/>
  <c r="V968" i="1" s="1"/>
  <c r="V971" i="1" s="1"/>
  <c r="V986" i="1" s="1"/>
  <c r="V989" i="1" s="1"/>
  <c r="V992" i="1" s="1"/>
  <c r="V995" i="1" s="1"/>
  <c r="V998" i="1" s="1"/>
  <c r="V1001" i="1" s="1"/>
  <c r="V1004" i="1" s="1"/>
  <c r="V1007" i="1" s="1"/>
  <c r="V1010" i="1" s="1"/>
  <c r="V1013" i="1" s="1"/>
  <c r="V1016" i="1" s="1"/>
  <c r="V1019" i="1" s="1"/>
  <c r="V1034" i="1" s="1"/>
  <c r="V1037" i="1" s="1"/>
  <c r="V1040" i="1" s="1"/>
  <c r="V1043" i="1" s="1"/>
  <c r="V1046" i="1" s="1"/>
  <c r="V1049" i="1" s="1"/>
  <c r="G613" i="1"/>
  <c r="Q613" i="1"/>
  <c r="W613" i="1" s="1"/>
  <c r="U614" i="1"/>
  <c r="U617" i="1" s="1"/>
  <c r="U620" i="1" s="1"/>
  <c r="U623" i="1" s="1"/>
  <c r="U626" i="1" s="1"/>
  <c r="U629" i="1" s="1"/>
  <c r="U632" i="1" s="1"/>
  <c r="U635" i="1" s="1"/>
  <c r="U650" i="1" s="1"/>
  <c r="U653" i="1" s="1"/>
  <c r="U656" i="1" s="1"/>
  <c r="U659" i="1" s="1"/>
  <c r="U662" i="1" s="1"/>
  <c r="U665" i="1" s="1"/>
  <c r="U668" i="1" s="1"/>
  <c r="U671" i="1" s="1"/>
  <c r="U674" i="1" s="1"/>
  <c r="U677" i="1" s="1"/>
  <c r="G616" i="1"/>
  <c r="W616" i="1"/>
  <c r="Q616" i="1"/>
  <c r="V616" i="1"/>
  <c r="G619" i="1"/>
  <c r="Q619" i="1"/>
  <c r="Q639" i="1" s="1"/>
  <c r="G622" i="1"/>
  <c r="Q622" i="1"/>
  <c r="W622" i="1"/>
  <c r="G625" i="1"/>
  <c r="Q625" i="1"/>
  <c r="W625" i="1"/>
  <c r="G628" i="1"/>
  <c r="W628" i="1" s="1"/>
  <c r="Q628" i="1"/>
  <c r="V628" i="1"/>
  <c r="T629" i="1"/>
  <c r="T632" i="1" s="1"/>
  <c r="T635" i="1" s="1"/>
  <c r="T650" i="1" s="1"/>
  <c r="T653" i="1" s="1"/>
  <c r="T656" i="1" s="1"/>
  <c r="T659" i="1" s="1"/>
  <c r="T662" i="1" s="1"/>
  <c r="T665" i="1" s="1"/>
  <c r="T668" i="1" s="1"/>
  <c r="T671" i="1" s="1"/>
  <c r="T674" i="1" s="1"/>
  <c r="T677" i="1" s="1"/>
  <c r="T680" i="1" s="1"/>
  <c r="T683" i="1" s="1"/>
  <c r="T698" i="1" s="1"/>
  <c r="T701" i="1" s="1"/>
  <c r="T704" i="1" s="1"/>
  <c r="T707" i="1" s="1"/>
  <c r="T710" i="1" s="1"/>
  <c r="T713" i="1" s="1"/>
  <c r="T716" i="1" s="1"/>
  <c r="T719" i="1" s="1"/>
  <c r="T722" i="1" s="1"/>
  <c r="T725" i="1" s="1"/>
  <c r="T728" i="1" s="1"/>
  <c r="T731" i="1" s="1"/>
  <c r="T746" i="1" s="1"/>
  <c r="T749" i="1" s="1"/>
  <c r="T752" i="1" s="1"/>
  <c r="T755" i="1" s="1"/>
  <c r="T758" i="1" s="1"/>
  <c r="T761" i="1" s="1"/>
  <c r="T764" i="1" s="1"/>
  <c r="T767" i="1" s="1"/>
  <c r="T770" i="1" s="1"/>
  <c r="T773" i="1" s="1"/>
  <c r="T776" i="1" s="1"/>
  <c r="T779" i="1" s="1"/>
  <c r="T794" i="1" s="1"/>
  <c r="T797" i="1" s="1"/>
  <c r="T800" i="1" s="1"/>
  <c r="T803" i="1" s="1"/>
  <c r="T806" i="1" s="1"/>
  <c r="T809" i="1" s="1"/>
  <c r="T812" i="1" s="1"/>
  <c r="T815" i="1" s="1"/>
  <c r="T818" i="1" s="1"/>
  <c r="T821" i="1" s="1"/>
  <c r="T824" i="1" s="1"/>
  <c r="T827" i="1" s="1"/>
  <c r="T842" i="1" s="1"/>
  <c r="T845" i="1" s="1"/>
  <c r="T848" i="1" s="1"/>
  <c r="T851" i="1" s="1"/>
  <c r="T854" i="1" s="1"/>
  <c r="T857" i="1" s="1"/>
  <c r="T860" i="1" s="1"/>
  <c r="T863" i="1" s="1"/>
  <c r="T866" i="1" s="1"/>
  <c r="T869" i="1" s="1"/>
  <c r="T872" i="1" s="1"/>
  <c r="T875" i="1" s="1"/>
  <c r="T890" i="1" s="1"/>
  <c r="T893" i="1" s="1"/>
  <c r="T896" i="1" s="1"/>
  <c r="T899" i="1" s="1"/>
  <c r="T902" i="1" s="1"/>
  <c r="T905" i="1" s="1"/>
  <c r="T908" i="1" s="1"/>
  <c r="T911" i="1" s="1"/>
  <c r="T914" i="1" s="1"/>
  <c r="T917" i="1" s="1"/>
  <c r="T920" i="1" s="1"/>
  <c r="T923" i="1" s="1"/>
  <c r="T938" i="1" s="1"/>
  <c r="T941" i="1" s="1"/>
  <c r="T944" i="1" s="1"/>
  <c r="T947" i="1" s="1"/>
  <c r="T950" i="1" s="1"/>
  <c r="T953" i="1" s="1"/>
  <c r="T956" i="1" s="1"/>
  <c r="T959" i="1" s="1"/>
  <c r="T962" i="1" s="1"/>
  <c r="T965" i="1" s="1"/>
  <c r="T968" i="1" s="1"/>
  <c r="T971" i="1" s="1"/>
  <c r="T986" i="1" s="1"/>
  <c r="T989" i="1" s="1"/>
  <c r="T992" i="1" s="1"/>
  <c r="T995" i="1" s="1"/>
  <c r="T998" i="1" s="1"/>
  <c r="T1001" i="1" s="1"/>
  <c r="T1004" i="1" s="1"/>
  <c r="T1007" i="1" s="1"/>
  <c r="T1010" i="1" s="1"/>
  <c r="T1013" i="1" s="1"/>
  <c r="T1016" i="1" s="1"/>
  <c r="T1019" i="1" s="1"/>
  <c r="T1034" i="1" s="1"/>
  <c r="T1037" i="1" s="1"/>
  <c r="T1040" i="1" s="1"/>
  <c r="T1043" i="1" s="1"/>
  <c r="T1046" i="1" s="1"/>
  <c r="T1049" i="1" s="1"/>
  <c r="T1052" i="1" s="1"/>
  <c r="T1055" i="1" s="1"/>
  <c r="T1058" i="1" s="1"/>
  <c r="T1061" i="1" s="1"/>
  <c r="T1064" i="1" s="1"/>
  <c r="T1067" i="1" s="1"/>
  <c r="T1082" i="1" s="1"/>
  <c r="T1085" i="1" s="1"/>
  <c r="T1088" i="1" s="1"/>
  <c r="T1091" i="1" s="1"/>
  <c r="T1094" i="1" s="1"/>
  <c r="T1097" i="1" s="1"/>
  <c r="T1100" i="1" s="1"/>
  <c r="T1103" i="1" s="1"/>
  <c r="T1106" i="1" s="1"/>
  <c r="T1109" i="1" s="1"/>
  <c r="T1112" i="1" s="1"/>
  <c r="T1115" i="1" s="1"/>
  <c r="G631" i="1"/>
  <c r="W631" i="1" s="1"/>
  <c r="Q631" i="1"/>
  <c r="G634" i="1"/>
  <c r="Q634" i="1"/>
  <c r="R639" i="1"/>
  <c r="S639" i="1"/>
  <c r="T639" i="1"/>
  <c r="U639" i="1"/>
  <c r="G649" i="1"/>
  <c r="Q649" i="1"/>
  <c r="T649" i="1"/>
  <c r="W649" i="1" s="1"/>
  <c r="G652" i="1"/>
  <c r="Q652" i="1"/>
  <c r="W652" i="1"/>
  <c r="G655" i="1"/>
  <c r="Q655" i="1"/>
  <c r="W655" i="1" s="1"/>
  <c r="G658" i="1"/>
  <c r="Q658" i="1"/>
  <c r="W658" i="1"/>
  <c r="G661" i="1"/>
  <c r="W661" i="1" s="1"/>
  <c r="Q661" i="1"/>
  <c r="G664" i="1"/>
  <c r="Q664" i="1"/>
  <c r="W664" i="1" s="1"/>
  <c r="Z664" i="1" s="1"/>
  <c r="S665" i="1"/>
  <c r="S668" i="1" s="1"/>
  <c r="G667" i="1"/>
  <c r="Q667" i="1"/>
  <c r="W667" i="1"/>
  <c r="G670" i="1"/>
  <c r="Q670" i="1"/>
  <c r="W670" i="1"/>
  <c r="J671" i="1"/>
  <c r="J674" i="1" s="1"/>
  <c r="J677" i="1" s="1"/>
  <c r="J680" i="1" s="1"/>
  <c r="J683" i="1" s="1"/>
  <c r="J698" i="1" s="1"/>
  <c r="J701" i="1" s="1"/>
  <c r="J704" i="1" s="1"/>
  <c r="J707" i="1" s="1"/>
  <c r="J710" i="1" s="1"/>
  <c r="J713" i="1" s="1"/>
  <c r="J716" i="1" s="1"/>
  <c r="J719" i="1" s="1"/>
  <c r="J722" i="1" s="1"/>
  <c r="J725" i="1" s="1"/>
  <c r="J728" i="1" s="1"/>
  <c r="J731" i="1" s="1"/>
  <c r="J746" i="1" s="1"/>
  <c r="J749" i="1" s="1"/>
  <c r="J752" i="1" s="1"/>
  <c r="J755" i="1" s="1"/>
  <c r="J758" i="1" s="1"/>
  <c r="J761" i="1" s="1"/>
  <c r="J764" i="1" s="1"/>
  <c r="J767" i="1" s="1"/>
  <c r="J770" i="1" s="1"/>
  <c r="J773" i="1" s="1"/>
  <c r="J776" i="1" s="1"/>
  <c r="J779" i="1" s="1"/>
  <c r="J794" i="1" s="1"/>
  <c r="J797" i="1" s="1"/>
  <c r="J800" i="1" s="1"/>
  <c r="J803" i="1" s="1"/>
  <c r="J806" i="1" s="1"/>
  <c r="J809" i="1" s="1"/>
  <c r="J812" i="1" s="1"/>
  <c r="J815" i="1" s="1"/>
  <c r="J818" i="1" s="1"/>
  <c r="J821" i="1" s="1"/>
  <c r="J824" i="1" s="1"/>
  <c r="J827" i="1" s="1"/>
  <c r="J842" i="1" s="1"/>
  <c r="J845" i="1" s="1"/>
  <c r="J848" i="1" s="1"/>
  <c r="J851" i="1" s="1"/>
  <c r="J854" i="1" s="1"/>
  <c r="J857" i="1" s="1"/>
  <c r="J860" i="1" s="1"/>
  <c r="J863" i="1" s="1"/>
  <c r="J866" i="1" s="1"/>
  <c r="J869" i="1" s="1"/>
  <c r="J872" i="1" s="1"/>
  <c r="J875" i="1" s="1"/>
  <c r="J890" i="1" s="1"/>
  <c r="J893" i="1" s="1"/>
  <c r="J896" i="1" s="1"/>
  <c r="J899" i="1" s="1"/>
  <c r="J902" i="1" s="1"/>
  <c r="J905" i="1" s="1"/>
  <c r="J908" i="1" s="1"/>
  <c r="J911" i="1" s="1"/>
  <c r="J914" i="1" s="1"/>
  <c r="J917" i="1" s="1"/>
  <c r="J920" i="1" s="1"/>
  <c r="J923" i="1" s="1"/>
  <c r="J938" i="1" s="1"/>
  <c r="J941" i="1" s="1"/>
  <c r="J944" i="1" s="1"/>
  <c r="J947" i="1" s="1"/>
  <c r="J950" i="1" s="1"/>
  <c r="J953" i="1" s="1"/>
  <c r="J956" i="1" s="1"/>
  <c r="J959" i="1" s="1"/>
  <c r="J962" i="1" s="1"/>
  <c r="J965" i="1" s="1"/>
  <c r="J968" i="1" s="1"/>
  <c r="J971" i="1" s="1"/>
  <c r="J986" i="1" s="1"/>
  <c r="J989" i="1" s="1"/>
  <c r="J992" i="1" s="1"/>
  <c r="J995" i="1" s="1"/>
  <c r="J998" i="1" s="1"/>
  <c r="J1001" i="1" s="1"/>
  <c r="J1004" i="1" s="1"/>
  <c r="J1007" i="1" s="1"/>
  <c r="J1010" i="1" s="1"/>
  <c r="J1013" i="1" s="1"/>
  <c r="J1016" i="1" s="1"/>
  <c r="J1019" i="1" s="1"/>
  <c r="J1034" i="1" s="1"/>
  <c r="J1037" i="1" s="1"/>
  <c r="J1040" i="1" s="1"/>
  <c r="J1043" i="1" s="1"/>
  <c r="J1046" i="1" s="1"/>
  <c r="J1049" i="1" s="1"/>
  <c r="J1052" i="1" s="1"/>
  <c r="J1055" i="1" s="1"/>
  <c r="J1058" i="1" s="1"/>
  <c r="J1061" i="1" s="1"/>
  <c r="J1064" i="1" s="1"/>
  <c r="J1067" i="1" s="1"/>
  <c r="J1082" i="1" s="1"/>
  <c r="J1085" i="1" s="1"/>
  <c r="J1088" i="1" s="1"/>
  <c r="J1091" i="1" s="1"/>
  <c r="J1094" i="1" s="1"/>
  <c r="J1097" i="1" s="1"/>
  <c r="J1100" i="1" s="1"/>
  <c r="J1103" i="1" s="1"/>
  <c r="J1106" i="1" s="1"/>
  <c r="J1109" i="1" s="1"/>
  <c r="J1112" i="1" s="1"/>
  <c r="J1115" i="1" s="1"/>
  <c r="S671" i="1"/>
  <c r="S674" i="1" s="1"/>
  <c r="G673" i="1"/>
  <c r="Q673" i="1"/>
  <c r="W673" i="1" s="1"/>
  <c r="G676" i="1"/>
  <c r="Q676" i="1"/>
  <c r="W676" i="1" s="1"/>
  <c r="S677" i="1"/>
  <c r="G679" i="1"/>
  <c r="Q679" i="1"/>
  <c r="W679" i="1" s="1"/>
  <c r="S680" i="1"/>
  <c r="S683" i="1" s="1"/>
  <c r="S698" i="1" s="1"/>
  <c r="S701" i="1" s="1"/>
  <c r="U680" i="1"/>
  <c r="U683" i="1" s="1"/>
  <c r="U698" i="1" s="1"/>
  <c r="U701" i="1" s="1"/>
  <c r="U704" i="1" s="1"/>
  <c r="U707" i="1" s="1"/>
  <c r="U710" i="1" s="1"/>
  <c r="U713" i="1" s="1"/>
  <c r="U716" i="1" s="1"/>
  <c r="U719" i="1" s="1"/>
  <c r="U722" i="1" s="1"/>
  <c r="U725" i="1" s="1"/>
  <c r="U728" i="1" s="1"/>
  <c r="U731" i="1" s="1"/>
  <c r="U746" i="1" s="1"/>
  <c r="U749" i="1" s="1"/>
  <c r="U752" i="1" s="1"/>
  <c r="U755" i="1" s="1"/>
  <c r="U758" i="1" s="1"/>
  <c r="U761" i="1" s="1"/>
  <c r="U764" i="1" s="1"/>
  <c r="U767" i="1" s="1"/>
  <c r="U770" i="1" s="1"/>
  <c r="U773" i="1" s="1"/>
  <c r="U776" i="1" s="1"/>
  <c r="U779" i="1" s="1"/>
  <c r="U794" i="1" s="1"/>
  <c r="U797" i="1" s="1"/>
  <c r="U800" i="1" s="1"/>
  <c r="U803" i="1" s="1"/>
  <c r="U806" i="1" s="1"/>
  <c r="U809" i="1" s="1"/>
  <c r="U812" i="1" s="1"/>
  <c r="U815" i="1" s="1"/>
  <c r="U818" i="1" s="1"/>
  <c r="U821" i="1" s="1"/>
  <c r="U824" i="1" s="1"/>
  <c r="U827" i="1" s="1"/>
  <c r="U842" i="1" s="1"/>
  <c r="U845" i="1" s="1"/>
  <c r="U848" i="1" s="1"/>
  <c r="U851" i="1" s="1"/>
  <c r="U854" i="1" s="1"/>
  <c r="U857" i="1" s="1"/>
  <c r="U860" i="1" s="1"/>
  <c r="U863" i="1" s="1"/>
  <c r="U866" i="1" s="1"/>
  <c r="U869" i="1" s="1"/>
  <c r="U872" i="1" s="1"/>
  <c r="U875" i="1" s="1"/>
  <c r="U890" i="1" s="1"/>
  <c r="U893" i="1" s="1"/>
  <c r="U896" i="1" s="1"/>
  <c r="U899" i="1" s="1"/>
  <c r="U902" i="1" s="1"/>
  <c r="U905" i="1" s="1"/>
  <c r="U908" i="1" s="1"/>
  <c r="U911" i="1" s="1"/>
  <c r="U914" i="1" s="1"/>
  <c r="U917" i="1" s="1"/>
  <c r="U920" i="1" s="1"/>
  <c r="U923" i="1" s="1"/>
  <c r="U938" i="1" s="1"/>
  <c r="U941" i="1" s="1"/>
  <c r="U944" i="1" s="1"/>
  <c r="U947" i="1" s="1"/>
  <c r="U950" i="1" s="1"/>
  <c r="U953" i="1" s="1"/>
  <c r="U956" i="1" s="1"/>
  <c r="U959" i="1" s="1"/>
  <c r="U962" i="1" s="1"/>
  <c r="U965" i="1" s="1"/>
  <c r="U968" i="1" s="1"/>
  <c r="U971" i="1" s="1"/>
  <c r="U986" i="1" s="1"/>
  <c r="U989" i="1" s="1"/>
  <c r="U992" i="1" s="1"/>
  <c r="U995" i="1" s="1"/>
  <c r="U998" i="1" s="1"/>
  <c r="U1001" i="1" s="1"/>
  <c r="U1004" i="1" s="1"/>
  <c r="U1007" i="1" s="1"/>
  <c r="U1010" i="1" s="1"/>
  <c r="U1013" i="1" s="1"/>
  <c r="U1016" i="1" s="1"/>
  <c r="U1019" i="1" s="1"/>
  <c r="U1034" i="1" s="1"/>
  <c r="U1037" i="1" s="1"/>
  <c r="U1040" i="1" s="1"/>
  <c r="U1043" i="1" s="1"/>
  <c r="U1046" i="1" s="1"/>
  <c r="U1049" i="1" s="1"/>
  <c r="U1052" i="1" s="1"/>
  <c r="U1055" i="1" s="1"/>
  <c r="U1058" i="1" s="1"/>
  <c r="U1061" i="1" s="1"/>
  <c r="U1064" i="1" s="1"/>
  <c r="U1067" i="1" s="1"/>
  <c r="U1082" i="1" s="1"/>
  <c r="U1085" i="1" s="1"/>
  <c r="U1088" i="1" s="1"/>
  <c r="U1091" i="1" s="1"/>
  <c r="U1094" i="1" s="1"/>
  <c r="U1097" i="1" s="1"/>
  <c r="U1100" i="1" s="1"/>
  <c r="U1103" i="1" s="1"/>
  <c r="U1106" i="1" s="1"/>
  <c r="U1109" i="1" s="1"/>
  <c r="U1112" i="1" s="1"/>
  <c r="U1115" i="1" s="1"/>
  <c r="G682" i="1"/>
  <c r="Q682" i="1"/>
  <c r="W682" i="1" s="1"/>
  <c r="Q697" i="1"/>
  <c r="Q700" i="1"/>
  <c r="G703" i="1"/>
  <c r="Q703" i="1"/>
  <c r="W703" i="1" s="1"/>
  <c r="S704" i="1"/>
  <c r="S707" i="1" s="1"/>
  <c r="S710" i="1" s="1"/>
  <c r="S713" i="1" s="1"/>
  <c r="G706" i="1"/>
  <c r="Q706" i="1"/>
  <c r="W706" i="1" s="1"/>
  <c r="G709" i="1"/>
  <c r="Q709" i="1"/>
  <c r="W709" i="1" s="1"/>
  <c r="G712" i="1"/>
  <c r="Q712" i="1"/>
  <c r="G715" i="1"/>
  <c r="Q715" i="1"/>
  <c r="W715" i="1"/>
  <c r="S716" i="1"/>
  <c r="S719" i="1" s="1"/>
  <c r="S722" i="1" s="1"/>
  <c r="S725" i="1" s="1"/>
  <c r="S728" i="1" s="1"/>
  <c r="S731" i="1" s="1"/>
  <c r="S746" i="1" s="1"/>
  <c r="S749" i="1" s="1"/>
  <c r="S752" i="1" s="1"/>
  <c r="S755" i="1" s="1"/>
  <c r="S758" i="1" s="1"/>
  <c r="S761" i="1" s="1"/>
  <c r="S764" i="1" s="1"/>
  <c r="S767" i="1" s="1"/>
  <c r="S770" i="1" s="1"/>
  <c r="S773" i="1" s="1"/>
  <c r="S776" i="1" s="1"/>
  <c r="S779" i="1" s="1"/>
  <c r="S794" i="1" s="1"/>
  <c r="S797" i="1" s="1"/>
  <c r="S800" i="1" s="1"/>
  <c r="S803" i="1" s="1"/>
  <c r="S806" i="1" s="1"/>
  <c r="S809" i="1" s="1"/>
  <c r="S812" i="1" s="1"/>
  <c r="S815" i="1" s="1"/>
  <c r="S818" i="1" s="1"/>
  <c r="S821" i="1" s="1"/>
  <c r="S824" i="1" s="1"/>
  <c r="S827" i="1" s="1"/>
  <c r="S842" i="1" s="1"/>
  <c r="S845" i="1" s="1"/>
  <c r="S848" i="1" s="1"/>
  <c r="S851" i="1" s="1"/>
  <c r="S854" i="1" s="1"/>
  <c r="S857" i="1" s="1"/>
  <c r="S860" i="1" s="1"/>
  <c r="S863" i="1" s="1"/>
  <c r="S866" i="1" s="1"/>
  <c r="S869" i="1" s="1"/>
  <c r="S872" i="1" s="1"/>
  <c r="S875" i="1" s="1"/>
  <c r="S890" i="1" s="1"/>
  <c r="S893" i="1" s="1"/>
  <c r="S896" i="1" s="1"/>
  <c r="S899" i="1" s="1"/>
  <c r="S902" i="1" s="1"/>
  <c r="S905" i="1" s="1"/>
  <c r="S908" i="1" s="1"/>
  <c r="S911" i="1" s="1"/>
  <c r="S914" i="1" s="1"/>
  <c r="S917" i="1" s="1"/>
  <c r="S920" i="1" s="1"/>
  <c r="S923" i="1" s="1"/>
  <c r="S938" i="1" s="1"/>
  <c r="S941" i="1" s="1"/>
  <c r="S944" i="1" s="1"/>
  <c r="S947" i="1" s="1"/>
  <c r="S950" i="1" s="1"/>
  <c r="S953" i="1" s="1"/>
  <c r="S956" i="1" s="1"/>
  <c r="S959" i="1" s="1"/>
  <c r="S962" i="1" s="1"/>
  <c r="S965" i="1" s="1"/>
  <c r="S968" i="1" s="1"/>
  <c r="S971" i="1" s="1"/>
  <c r="S986" i="1" s="1"/>
  <c r="S989" i="1" s="1"/>
  <c r="S992" i="1" s="1"/>
  <c r="S995" i="1" s="1"/>
  <c r="S998" i="1" s="1"/>
  <c r="S1001" i="1" s="1"/>
  <c r="S1004" i="1" s="1"/>
  <c r="S1007" i="1" s="1"/>
  <c r="S1010" i="1" s="1"/>
  <c r="S1013" i="1" s="1"/>
  <c r="S1016" i="1" s="1"/>
  <c r="S1019" i="1" s="1"/>
  <c r="S1034" i="1" s="1"/>
  <c r="S1037" i="1" s="1"/>
  <c r="S1040" i="1" s="1"/>
  <c r="S1043" i="1" s="1"/>
  <c r="S1046" i="1" s="1"/>
  <c r="S1049" i="1" s="1"/>
  <c r="S1052" i="1" s="1"/>
  <c r="S1055" i="1" s="1"/>
  <c r="S1058" i="1" s="1"/>
  <c r="S1061" i="1" s="1"/>
  <c r="S1064" i="1" s="1"/>
  <c r="S1067" i="1" s="1"/>
  <c r="S1082" i="1" s="1"/>
  <c r="S1085" i="1" s="1"/>
  <c r="S1088" i="1" s="1"/>
  <c r="S1091" i="1" s="1"/>
  <c r="S1094" i="1" s="1"/>
  <c r="S1097" i="1" s="1"/>
  <c r="S1100" i="1" s="1"/>
  <c r="S1103" i="1" s="1"/>
  <c r="S1106" i="1" s="1"/>
  <c r="S1109" i="1" s="1"/>
  <c r="S1112" i="1" s="1"/>
  <c r="S1115" i="1" s="1"/>
  <c r="G718" i="1"/>
  <c r="Q718" i="1"/>
  <c r="W718" i="1" s="1"/>
  <c r="G721" i="1"/>
  <c r="W721" i="1" s="1"/>
  <c r="Q721" i="1"/>
  <c r="G724" i="1"/>
  <c r="Q724" i="1"/>
  <c r="W724" i="1" s="1"/>
  <c r="G727" i="1"/>
  <c r="Q727" i="1"/>
  <c r="W727" i="1"/>
  <c r="G730" i="1"/>
  <c r="Q730" i="1"/>
  <c r="W730" i="1" s="1"/>
  <c r="G745" i="1"/>
  <c r="Q745" i="1"/>
  <c r="W745" i="1" s="1"/>
  <c r="Z745" i="1" s="1"/>
  <c r="G748" i="1"/>
  <c r="W748" i="1" s="1"/>
  <c r="Z748" i="1" s="1"/>
  <c r="Q748" i="1"/>
  <c r="G751" i="1"/>
  <c r="Q751" i="1"/>
  <c r="W751" i="1"/>
  <c r="G754" i="1"/>
  <c r="Q754" i="1"/>
  <c r="W754" i="1" s="1"/>
  <c r="G757" i="1"/>
  <c r="W757" i="1" s="1"/>
  <c r="Q757" i="1"/>
  <c r="G760" i="1"/>
  <c r="Q760" i="1"/>
  <c r="V760" i="1"/>
  <c r="G763" i="1"/>
  <c r="Q763" i="1"/>
  <c r="W763" i="1"/>
  <c r="G766" i="1"/>
  <c r="Q766" i="1"/>
  <c r="W766" i="1" s="1"/>
  <c r="G769" i="1"/>
  <c r="Q769" i="1"/>
  <c r="W769" i="1"/>
  <c r="G772" i="1"/>
  <c r="Q772" i="1"/>
  <c r="W772" i="1"/>
  <c r="G775" i="1"/>
  <c r="Q775" i="1"/>
  <c r="W775" i="1" s="1"/>
  <c r="G778" i="1"/>
  <c r="Q778" i="1"/>
  <c r="W778" i="1"/>
  <c r="C793" i="1"/>
  <c r="E793" i="1"/>
  <c r="G793" i="1" s="1"/>
  <c r="F793" i="1"/>
  <c r="Q793" i="1"/>
  <c r="W793" i="1"/>
  <c r="B796" i="1"/>
  <c r="G796" i="1" s="1"/>
  <c r="W796" i="1" s="1"/>
  <c r="C796" i="1"/>
  <c r="E796" i="1"/>
  <c r="F796" i="1"/>
  <c r="Q796" i="1"/>
  <c r="G799" i="1"/>
  <c r="W799" i="1" s="1"/>
  <c r="Q799" i="1"/>
  <c r="G802" i="1"/>
  <c r="Q802" i="1"/>
  <c r="W802" i="1"/>
  <c r="G805" i="1"/>
  <c r="Q805" i="1"/>
  <c r="W805" i="1"/>
  <c r="G808" i="1"/>
  <c r="Q808" i="1"/>
  <c r="W808" i="1"/>
  <c r="G811" i="1"/>
  <c r="Q811" i="1"/>
  <c r="W811" i="1"/>
  <c r="G814" i="1"/>
  <c r="Q814" i="1"/>
  <c r="W814" i="1"/>
  <c r="G817" i="1"/>
  <c r="Q817" i="1"/>
  <c r="W817" i="1"/>
  <c r="G820" i="1"/>
  <c r="Q820" i="1"/>
  <c r="W820" i="1"/>
  <c r="G823" i="1"/>
  <c r="Q823" i="1"/>
  <c r="W823" i="1"/>
  <c r="G826" i="1"/>
  <c r="Q826" i="1"/>
  <c r="W826" i="1"/>
  <c r="G841" i="1"/>
  <c r="Q841" i="1"/>
  <c r="W841" i="1"/>
  <c r="G844" i="1"/>
  <c r="Q844" i="1"/>
  <c r="W844" i="1"/>
  <c r="G847" i="1"/>
  <c r="Q847" i="1"/>
  <c r="W847" i="1" s="1"/>
  <c r="G850" i="1"/>
  <c r="Q850" i="1"/>
  <c r="W850" i="1" s="1"/>
  <c r="G853" i="1"/>
  <c r="Q853" i="1"/>
  <c r="W853" i="1"/>
  <c r="G856" i="1"/>
  <c r="Q856" i="1"/>
  <c r="W856" i="1"/>
  <c r="G859" i="1"/>
  <c r="Q859" i="1"/>
  <c r="W859" i="1"/>
  <c r="G862" i="1"/>
  <c r="Q862" i="1"/>
  <c r="W862" i="1"/>
  <c r="G865" i="1"/>
  <c r="Q865" i="1"/>
  <c r="W865" i="1"/>
  <c r="G868" i="1"/>
  <c r="Q868" i="1"/>
  <c r="W868" i="1"/>
  <c r="G871" i="1"/>
  <c r="Q871" i="1"/>
  <c r="W871" i="1" s="1"/>
  <c r="E874" i="1"/>
  <c r="G874" i="1"/>
  <c r="W874" i="1" s="1"/>
  <c r="I874" i="1"/>
  <c r="L874" i="1"/>
  <c r="P874" i="1"/>
  <c r="Q874" i="1"/>
  <c r="G889" i="1"/>
  <c r="Q889" i="1"/>
  <c r="W889" i="1" s="1"/>
  <c r="G892" i="1"/>
  <c r="Q892" i="1"/>
  <c r="W892" i="1"/>
  <c r="G895" i="1"/>
  <c r="Q895" i="1"/>
  <c r="W895" i="1" s="1"/>
  <c r="G898" i="1"/>
  <c r="Q898" i="1"/>
  <c r="W898" i="1"/>
  <c r="G901" i="1"/>
  <c r="Q901" i="1"/>
  <c r="W901" i="1" s="1"/>
  <c r="G904" i="1"/>
  <c r="Q904" i="1"/>
  <c r="W904" i="1" s="1"/>
  <c r="G907" i="1"/>
  <c r="Q907" i="1"/>
  <c r="W907" i="1" s="1"/>
  <c r="G910" i="1"/>
  <c r="Q910" i="1"/>
  <c r="W910" i="1" s="1"/>
  <c r="G913" i="1"/>
  <c r="Q913" i="1"/>
  <c r="W913" i="1" s="1"/>
  <c r="G916" i="1"/>
  <c r="Q916" i="1"/>
  <c r="W916" i="1"/>
  <c r="G919" i="1"/>
  <c r="Q919" i="1"/>
  <c r="G922" i="1"/>
  <c r="Q922" i="1"/>
  <c r="W922" i="1"/>
  <c r="G937" i="1"/>
  <c r="Q937" i="1"/>
  <c r="Z937" i="1"/>
  <c r="G940" i="1"/>
  <c r="N940" i="1"/>
  <c r="Q940" i="1" s="1"/>
  <c r="W940" i="1"/>
  <c r="Z940" i="1"/>
  <c r="G943" i="1"/>
  <c r="W943" i="1" s="1"/>
  <c r="Q943" i="1"/>
  <c r="Z943" i="1"/>
  <c r="G946" i="1"/>
  <c r="Q946" i="1"/>
  <c r="W946" i="1" s="1"/>
  <c r="T946" i="1"/>
  <c r="Z946" i="1"/>
  <c r="AA946" i="1"/>
  <c r="AB946" i="1"/>
  <c r="G949" i="1"/>
  <c r="Q949" i="1"/>
  <c r="W949" i="1" s="1"/>
  <c r="Z949" i="1"/>
  <c r="G952" i="1"/>
  <c r="Q952" i="1"/>
  <c r="W952" i="1"/>
  <c r="Z952" i="1"/>
  <c r="G955" i="1"/>
  <c r="Q955" i="1"/>
  <c r="W955" i="1"/>
  <c r="Z955" i="1"/>
  <c r="G958" i="1"/>
  <c r="Q958" i="1"/>
  <c r="W958" i="1"/>
  <c r="Z958" i="1"/>
  <c r="G961" i="1"/>
  <c r="Q961" i="1"/>
  <c r="W961" i="1"/>
  <c r="Z961" i="1"/>
  <c r="G964" i="1"/>
  <c r="Q964" i="1"/>
  <c r="W964" i="1"/>
  <c r="Z964" i="1"/>
  <c r="G967" i="1"/>
  <c r="Q967" i="1"/>
  <c r="W967" i="1"/>
  <c r="Z967" i="1"/>
  <c r="G970" i="1"/>
  <c r="I970" i="1"/>
  <c r="I1023" i="1" s="1"/>
  <c r="J970" i="1"/>
  <c r="J1023" i="1" s="1"/>
  <c r="K970" i="1"/>
  <c r="K1023" i="1" s="1"/>
  <c r="O970" i="1"/>
  <c r="O1023" i="1" s="1"/>
  <c r="I975" i="1"/>
  <c r="K975" i="1"/>
  <c r="O975" i="1"/>
  <c r="G985" i="1"/>
  <c r="Q985" i="1"/>
  <c r="W985" i="1"/>
  <c r="G988" i="1"/>
  <c r="Q988" i="1"/>
  <c r="W988" i="1"/>
  <c r="G991" i="1"/>
  <c r="Q991" i="1"/>
  <c r="W991" i="1"/>
  <c r="G994" i="1"/>
  <c r="Q994" i="1"/>
  <c r="W994" i="1" s="1"/>
  <c r="G997" i="1"/>
  <c r="Q997" i="1"/>
  <c r="W997" i="1" s="1"/>
  <c r="G1000" i="1"/>
  <c r="Q1000" i="1"/>
  <c r="W1000" i="1"/>
  <c r="Z1000" i="1"/>
  <c r="G1003" i="1"/>
  <c r="Q1003" i="1"/>
  <c r="W1003" i="1"/>
  <c r="G1006" i="1"/>
  <c r="Q1006" i="1"/>
  <c r="G1009" i="1"/>
  <c r="Q1009" i="1"/>
  <c r="W1009" i="1" s="1"/>
  <c r="G1012" i="1"/>
  <c r="Q1012" i="1"/>
  <c r="G1015" i="1"/>
  <c r="Q1015" i="1"/>
  <c r="W1015" i="1" s="1"/>
  <c r="Z1015" i="1" s="1"/>
  <c r="G1018" i="1"/>
  <c r="Q1018" i="1"/>
  <c r="S3" i="2"/>
  <c r="W3" i="2"/>
  <c r="G10" i="2"/>
  <c r="G11" i="2" s="1"/>
  <c r="G14" i="2" s="1"/>
  <c r="G17" i="2" s="1"/>
  <c r="G20" i="2" s="1"/>
  <c r="G23" i="2" s="1"/>
  <c r="G26" i="2" s="1"/>
  <c r="G29" i="2" s="1"/>
  <c r="G32" i="2" s="1"/>
  <c r="G35" i="2" s="1"/>
  <c r="G38" i="2" s="1"/>
  <c r="G41" i="2" s="1"/>
  <c r="G44" i="2" s="1"/>
  <c r="Q10" i="2"/>
  <c r="B11" i="2"/>
  <c r="B14" i="2" s="1"/>
  <c r="B17" i="2" s="1"/>
  <c r="B20" i="2" s="1"/>
  <c r="B23" i="2" s="1"/>
  <c r="B26" i="2" s="1"/>
  <c r="B29" i="2" s="1"/>
  <c r="B32" i="2" s="1"/>
  <c r="B35" i="2" s="1"/>
  <c r="B38" i="2" s="1"/>
  <c r="B41" i="2" s="1"/>
  <c r="B44" i="2" s="1"/>
  <c r="C11" i="2"/>
  <c r="C14" i="2" s="1"/>
  <c r="C17" i="2" s="1"/>
  <c r="C20" i="2" s="1"/>
  <c r="C23" i="2" s="1"/>
  <c r="C26" i="2" s="1"/>
  <c r="C29" i="2" s="1"/>
  <c r="C32" i="2" s="1"/>
  <c r="C35" i="2" s="1"/>
  <c r="C38" i="2" s="1"/>
  <c r="C41" i="2" s="1"/>
  <c r="C44" i="2" s="1"/>
  <c r="D11" i="2"/>
  <c r="D14" i="2" s="1"/>
  <c r="D17" i="2" s="1"/>
  <c r="D20" i="2" s="1"/>
  <c r="D23" i="2" s="1"/>
  <c r="D26" i="2" s="1"/>
  <c r="D29" i="2" s="1"/>
  <c r="D32" i="2" s="1"/>
  <c r="D35" i="2" s="1"/>
  <c r="D38" i="2" s="1"/>
  <c r="E11" i="2"/>
  <c r="E14" i="2"/>
  <c r="E17" i="2" s="1"/>
  <c r="E20" i="2" s="1"/>
  <c r="E23" i="2" s="1"/>
  <c r="E26" i="2" s="1"/>
  <c r="E29" i="2" s="1"/>
  <c r="E32" i="2" s="1"/>
  <c r="E35" i="2" s="1"/>
  <c r="E38" i="2" s="1"/>
  <c r="E41" i="2" s="1"/>
  <c r="E44" i="2" s="1"/>
  <c r="F11" i="2"/>
  <c r="H11" i="2"/>
  <c r="H14" i="2" s="1"/>
  <c r="H17" i="2" s="1"/>
  <c r="H20" i="2" s="1"/>
  <c r="H23" i="2" s="1"/>
  <c r="H26" i="2" s="1"/>
  <c r="H29" i="2" s="1"/>
  <c r="H32" i="2" s="1"/>
  <c r="H35" i="2" s="1"/>
  <c r="H38" i="2" s="1"/>
  <c r="I11" i="2"/>
  <c r="I14" i="2"/>
  <c r="I17" i="2" s="1"/>
  <c r="I20" i="2" s="1"/>
  <c r="I23" i="2" s="1"/>
  <c r="I26" i="2" s="1"/>
  <c r="I29" i="2" s="1"/>
  <c r="I32" i="2" s="1"/>
  <c r="I35" i="2" s="1"/>
  <c r="I38" i="2" s="1"/>
  <c r="I41" i="2" s="1"/>
  <c r="I44" i="2" s="1"/>
  <c r="J11" i="2"/>
  <c r="J14" i="2" s="1"/>
  <c r="J17" i="2" s="1"/>
  <c r="J20" i="2" s="1"/>
  <c r="J23" i="2" s="1"/>
  <c r="J26" i="2" s="1"/>
  <c r="J29" i="2" s="1"/>
  <c r="J32" i="2" s="1"/>
  <c r="J35" i="2" s="1"/>
  <c r="J38" i="2" s="1"/>
  <c r="J41" i="2" s="1"/>
  <c r="J44" i="2" s="1"/>
  <c r="K11" i="2"/>
  <c r="K14" i="2" s="1"/>
  <c r="K17" i="2" s="1"/>
  <c r="K20" i="2" s="1"/>
  <c r="K23" i="2" s="1"/>
  <c r="K26" i="2" s="1"/>
  <c r="K29" i="2" s="1"/>
  <c r="K32" i="2" s="1"/>
  <c r="K35" i="2" s="1"/>
  <c r="K38" i="2" s="1"/>
  <c r="K41" i="2" s="1"/>
  <c r="K44" i="2" s="1"/>
  <c r="L11" i="2"/>
  <c r="L14" i="2" s="1"/>
  <c r="L17" i="2" s="1"/>
  <c r="L20" i="2" s="1"/>
  <c r="L23" i="2" s="1"/>
  <c r="L26" i="2" s="1"/>
  <c r="L29" i="2" s="1"/>
  <c r="L32" i="2" s="1"/>
  <c r="L35" i="2" s="1"/>
  <c r="L38" i="2" s="1"/>
  <c r="M11" i="2"/>
  <c r="M14" i="2"/>
  <c r="M17" i="2" s="1"/>
  <c r="M20" i="2" s="1"/>
  <c r="M23" i="2" s="1"/>
  <c r="M26" i="2" s="1"/>
  <c r="M29" i="2" s="1"/>
  <c r="M32" i="2" s="1"/>
  <c r="M35" i="2" s="1"/>
  <c r="M38" i="2" s="1"/>
  <c r="M41" i="2" s="1"/>
  <c r="M44" i="2" s="1"/>
  <c r="N11" i="2"/>
  <c r="O11" i="2"/>
  <c r="O14" i="2" s="1"/>
  <c r="O17" i="2"/>
  <c r="O20" i="2" s="1"/>
  <c r="O23" i="2" s="1"/>
  <c r="O26" i="2" s="1"/>
  <c r="O29" i="2" s="1"/>
  <c r="O32" i="2" s="1"/>
  <c r="O35" i="2" s="1"/>
  <c r="O38" i="2" s="1"/>
  <c r="O41" i="2" s="1"/>
  <c r="O44" i="2" s="1"/>
  <c r="P11" i="2"/>
  <c r="P14" i="2" s="1"/>
  <c r="P17" i="2" s="1"/>
  <c r="P20" i="2" s="1"/>
  <c r="P23" i="2" s="1"/>
  <c r="P26" i="2" s="1"/>
  <c r="P29" i="2" s="1"/>
  <c r="P32" i="2" s="1"/>
  <c r="P35" i="2" s="1"/>
  <c r="P38" i="2" s="1"/>
  <c r="P41" i="2" s="1"/>
  <c r="P44" i="2" s="1"/>
  <c r="R11" i="2"/>
  <c r="Q13" i="2"/>
  <c r="S13" i="2" s="1"/>
  <c r="F14" i="2"/>
  <c r="F17" i="2" s="1"/>
  <c r="F20" i="2" s="1"/>
  <c r="F23" i="2" s="1"/>
  <c r="F26" i="2" s="1"/>
  <c r="F29" i="2" s="1"/>
  <c r="F32" i="2" s="1"/>
  <c r="F35" i="2" s="1"/>
  <c r="F38" i="2" s="1"/>
  <c r="F41" i="2" s="1"/>
  <c r="F44" i="2" s="1"/>
  <c r="N14" i="2"/>
  <c r="N17" i="2" s="1"/>
  <c r="N20" i="2" s="1"/>
  <c r="N23" i="2" s="1"/>
  <c r="N26" i="2" s="1"/>
  <c r="N29" i="2" s="1"/>
  <c r="N32" i="2" s="1"/>
  <c r="N35" i="2" s="1"/>
  <c r="N38" i="2" s="1"/>
  <c r="N41" i="2" s="1"/>
  <c r="N44" i="2" s="1"/>
  <c r="R14" i="2"/>
  <c r="R17" i="2" s="1"/>
  <c r="R20" i="2" s="1"/>
  <c r="R23" i="2" s="1"/>
  <c r="R26" i="2" s="1"/>
  <c r="R29" i="2" s="1"/>
  <c r="R32" i="2" s="1"/>
  <c r="R35" i="2" s="1"/>
  <c r="R38" i="2" s="1"/>
  <c r="R41" i="2" s="1"/>
  <c r="R44" i="2" s="1"/>
  <c r="G16" i="2"/>
  <c r="Q16" i="2"/>
  <c r="G19" i="2"/>
  <c r="Q19" i="2"/>
  <c r="G22" i="2"/>
  <c r="Q22" i="2"/>
  <c r="S22" i="2" s="1"/>
  <c r="G25" i="2"/>
  <c r="Q25" i="2"/>
  <c r="G28" i="2"/>
  <c r="Q28" i="2"/>
  <c r="S28" i="2" s="1"/>
  <c r="G31" i="2"/>
  <c r="Q31" i="2"/>
  <c r="G34" i="2"/>
  <c r="Q34" i="2"/>
  <c r="S34" i="2" s="1"/>
  <c r="G37" i="2"/>
  <c r="Q37" i="2"/>
  <c r="D41" i="2"/>
  <c r="D44" i="2" s="1"/>
  <c r="H41" i="2"/>
  <c r="H44" i="2" s="1"/>
  <c r="L41" i="2"/>
  <c r="L44" i="2" s="1"/>
  <c r="Q40" i="2"/>
  <c r="S40" i="2"/>
  <c r="G43" i="2"/>
  <c r="Q43" i="2"/>
  <c r="L108" i="2"/>
  <c r="M108" i="2"/>
  <c r="O108" i="2"/>
  <c r="G116" i="2"/>
  <c r="R116" i="2"/>
  <c r="R117" i="2" s="1"/>
  <c r="R120" i="2" s="1"/>
  <c r="R123" i="2" s="1"/>
  <c r="R126" i="2" s="1"/>
  <c r="B117" i="2"/>
  <c r="B120" i="2" s="1"/>
  <c r="C117" i="2"/>
  <c r="D117" i="2"/>
  <c r="D120" i="2" s="1"/>
  <c r="D123" i="2" s="1"/>
  <c r="D126" i="2" s="1"/>
  <c r="D129" i="2" s="1"/>
  <c r="D132" i="2" s="1"/>
  <c r="D135" i="2" s="1"/>
  <c r="D138" i="2" s="1"/>
  <c r="D141" i="2" s="1"/>
  <c r="D144" i="2" s="1"/>
  <c r="D147" i="2" s="1"/>
  <c r="D150" i="2" s="1"/>
  <c r="D165" i="2" s="1"/>
  <c r="D168" i="2" s="1"/>
  <c r="D171" i="2" s="1"/>
  <c r="D174" i="2" s="1"/>
  <c r="D177" i="2" s="1"/>
  <c r="D180" i="2" s="1"/>
  <c r="D183" i="2" s="1"/>
  <c r="D186" i="2" s="1"/>
  <c r="D189" i="2" s="1"/>
  <c r="D192" i="2" s="1"/>
  <c r="D195" i="2" s="1"/>
  <c r="D198" i="2" s="1"/>
  <c r="D216" i="2" s="1"/>
  <c r="D219" i="2" s="1"/>
  <c r="D222" i="2" s="1"/>
  <c r="D225" i="2" s="1"/>
  <c r="D228" i="2" s="1"/>
  <c r="D231" i="2" s="1"/>
  <c r="D234" i="2" s="1"/>
  <c r="D237" i="2" s="1"/>
  <c r="D240" i="2" s="1"/>
  <c r="D243" i="2" s="1"/>
  <c r="D246" i="2" s="1"/>
  <c r="D249" i="2" s="1"/>
  <c r="D270" i="2" s="1"/>
  <c r="D273" i="2" s="1"/>
  <c r="D276" i="2" s="1"/>
  <c r="D279" i="2" s="1"/>
  <c r="D282" i="2" s="1"/>
  <c r="D285" i="2" s="1"/>
  <c r="D288" i="2" s="1"/>
  <c r="D291" i="2" s="1"/>
  <c r="D294" i="2" s="1"/>
  <c r="D297" i="2" s="1"/>
  <c r="D300" i="2" s="1"/>
  <c r="D303" i="2" s="1"/>
  <c r="D321" i="2" s="1"/>
  <c r="E117" i="2"/>
  <c r="E120" i="2" s="1"/>
  <c r="E123" i="2" s="1"/>
  <c r="E126" i="2" s="1"/>
  <c r="E129" i="2" s="1"/>
  <c r="E132" i="2" s="1"/>
  <c r="E135" i="2" s="1"/>
  <c r="E138" i="2" s="1"/>
  <c r="E141" i="2" s="1"/>
  <c r="E144" i="2" s="1"/>
  <c r="E147" i="2" s="1"/>
  <c r="E150" i="2" s="1"/>
  <c r="E165" i="2" s="1"/>
  <c r="E168" i="2" s="1"/>
  <c r="E171" i="2" s="1"/>
  <c r="E174" i="2" s="1"/>
  <c r="E177" i="2" s="1"/>
  <c r="E180" i="2" s="1"/>
  <c r="E183" i="2" s="1"/>
  <c r="E186" i="2" s="1"/>
  <c r="E189" i="2" s="1"/>
  <c r="E192" i="2" s="1"/>
  <c r="E195" i="2" s="1"/>
  <c r="E198" i="2" s="1"/>
  <c r="E216" i="2" s="1"/>
  <c r="E219" i="2" s="1"/>
  <c r="E222" i="2" s="1"/>
  <c r="E225" i="2" s="1"/>
  <c r="E228" i="2" s="1"/>
  <c r="E231" i="2" s="1"/>
  <c r="E234" i="2" s="1"/>
  <c r="E237" i="2" s="1"/>
  <c r="E240" i="2" s="1"/>
  <c r="E243" i="2" s="1"/>
  <c r="E246" i="2" s="1"/>
  <c r="E249" i="2" s="1"/>
  <c r="E270" i="2" s="1"/>
  <c r="E273" i="2" s="1"/>
  <c r="E276" i="2" s="1"/>
  <c r="E279" i="2" s="1"/>
  <c r="E282" i="2" s="1"/>
  <c r="E285" i="2" s="1"/>
  <c r="E288" i="2" s="1"/>
  <c r="E291" i="2" s="1"/>
  <c r="E294" i="2" s="1"/>
  <c r="E297" i="2" s="1"/>
  <c r="E300" i="2" s="1"/>
  <c r="E303" i="2" s="1"/>
  <c r="E321" i="2" s="1"/>
  <c r="E324" i="2" s="1"/>
  <c r="E327" i="2" s="1"/>
  <c r="F117" i="2"/>
  <c r="F120" i="2" s="1"/>
  <c r="F123" i="2" s="1"/>
  <c r="F126" i="2" s="1"/>
  <c r="F129" i="2" s="1"/>
  <c r="F132" i="2" s="1"/>
  <c r="F135" i="2" s="1"/>
  <c r="F138" i="2" s="1"/>
  <c r="F141" i="2" s="1"/>
  <c r="F144" i="2" s="1"/>
  <c r="F147" i="2" s="1"/>
  <c r="F150" i="2" s="1"/>
  <c r="F165" i="2" s="1"/>
  <c r="F168" i="2" s="1"/>
  <c r="F171" i="2" s="1"/>
  <c r="F174" i="2" s="1"/>
  <c r="F177" i="2" s="1"/>
  <c r="F180" i="2" s="1"/>
  <c r="F183" i="2" s="1"/>
  <c r="F186" i="2" s="1"/>
  <c r="F189" i="2" s="1"/>
  <c r="F192" i="2" s="1"/>
  <c r="F195" i="2" s="1"/>
  <c r="F198" i="2" s="1"/>
  <c r="F216" i="2" s="1"/>
  <c r="F219" i="2" s="1"/>
  <c r="F222" i="2" s="1"/>
  <c r="F225" i="2" s="1"/>
  <c r="F228" i="2" s="1"/>
  <c r="F231" i="2" s="1"/>
  <c r="F234" i="2" s="1"/>
  <c r="F237" i="2" s="1"/>
  <c r="F240" i="2" s="1"/>
  <c r="F243" i="2" s="1"/>
  <c r="F246" i="2" s="1"/>
  <c r="F249" i="2" s="1"/>
  <c r="F270" i="2" s="1"/>
  <c r="F273" i="2" s="1"/>
  <c r="F276" i="2" s="1"/>
  <c r="F279" i="2" s="1"/>
  <c r="F282" i="2" s="1"/>
  <c r="F285" i="2" s="1"/>
  <c r="F288" i="2" s="1"/>
  <c r="F291" i="2" s="1"/>
  <c r="F294" i="2" s="1"/>
  <c r="F297" i="2" s="1"/>
  <c r="F300" i="2" s="1"/>
  <c r="F303" i="2" s="1"/>
  <c r="F321" i="2" s="1"/>
  <c r="F324" i="2" s="1"/>
  <c r="G117" i="2"/>
  <c r="I117" i="2"/>
  <c r="I120" i="2"/>
  <c r="I123" i="2" s="1"/>
  <c r="I126" i="2" s="1"/>
  <c r="I129" i="2" s="1"/>
  <c r="I132" i="2" s="1"/>
  <c r="I135" i="2" s="1"/>
  <c r="I138" i="2" s="1"/>
  <c r="I141" i="2" s="1"/>
  <c r="I144" i="2" s="1"/>
  <c r="I147" i="2" s="1"/>
  <c r="I150" i="2" s="1"/>
  <c r="I165" i="2" s="1"/>
  <c r="I168" i="2" s="1"/>
  <c r="I171" i="2" s="1"/>
  <c r="I174" i="2" s="1"/>
  <c r="I177" i="2" s="1"/>
  <c r="I180" i="2" s="1"/>
  <c r="I183" i="2" s="1"/>
  <c r="I186" i="2" s="1"/>
  <c r="I189" i="2" s="1"/>
  <c r="I192" i="2" s="1"/>
  <c r="I195" i="2" s="1"/>
  <c r="I198" i="2" s="1"/>
  <c r="I216" i="2" s="1"/>
  <c r="I219" i="2" s="1"/>
  <c r="I222" i="2" s="1"/>
  <c r="I225" i="2" s="1"/>
  <c r="I228" i="2" s="1"/>
  <c r="I231" i="2" s="1"/>
  <c r="I234" i="2" s="1"/>
  <c r="I237" i="2" s="1"/>
  <c r="I240" i="2" s="1"/>
  <c r="I243" i="2" s="1"/>
  <c r="I246" i="2" s="1"/>
  <c r="I249" i="2" s="1"/>
  <c r="I270" i="2" s="1"/>
  <c r="I273" i="2" s="1"/>
  <c r="I276" i="2" s="1"/>
  <c r="I279" i="2" s="1"/>
  <c r="I282" i="2" s="1"/>
  <c r="I285" i="2" s="1"/>
  <c r="I288" i="2" s="1"/>
  <c r="I291" i="2" s="1"/>
  <c r="I294" i="2" s="1"/>
  <c r="I297" i="2" s="1"/>
  <c r="I300" i="2" s="1"/>
  <c r="I303" i="2" s="1"/>
  <c r="I321" i="2" s="1"/>
  <c r="I324" i="2" s="1"/>
  <c r="I327" i="2" s="1"/>
  <c r="I330" i="2" s="1"/>
  <c r="I333" i="2" s="1"/>
  <c r="I336" i="2" s="1"/>
  <c r="J117" i="2"/>
  <c r="K117" i="2"/>
  <c r="K120" i="2"/>
  <c r="L117" i="2"/>
  <c r="M117" i="2"/>
  <c r="M120" i="2" s="1"/>
  <c r="M123" i="2" s="1"/>
  <c r="M126" i="2" s="1"/>
  <c r="M129" i="2" s="1"/>
  <c r="M132" i="2" s="1"/>
  <c r="M135" i="2" s="1"/>
  <c r="M138" i="2" s="1"/>
  <c r="M141" i="2" s="1"/>
  <c r="M144" i="2" s="1"/>
  <c r="M147" i="2" s="1"/>
  <c r="M150" i="2" s="1"/>
  <c r="M165" i="2" s="1"/>
  <c r="M168" i="2" s="1"/>
  <c r="M171" i="2" s="1"/>
  <c r="M174" i="2" s="1"/>
  <c r="M177" i="2" s="1"/>
  <c r="M180" i="2" s="1"/>
  <c r="M183" i="2" s="1"/>
  <c r="M186" i="2" s="1"/>
  <c r="M189" i="2" s="1"/>
  <c r="M192" i="2" s="1"/>
  <c r="M195" i="2" s="1"/>
  <c r="M198" i="2" s="1"/>
  <c r="M216" i="2" s="1"/>
  <c r="M219" i="2" s="1"/>
  <c r="M222" i="2" s="1"/>
  <c r="M225" i="2" s="1"/>
  <c r="M228" i="2" s="1"/>
  <c r="M231" i="2" s="1"/>
  <c r="M234" i="2" s="1"/>
  <c r="M237" i="2" s="1"/>
  <c r="M240" i="2" s="1"/>
  <c r="M243" i="2" s="1"/>
  <c r="M246" i="2" s="1"/>
  <c r="M249" i="2" s="1"/>
  <c r="M270" i="2" s="1"/>
  <c r="M273" i="2" s="1"/>
  <c r="M276" i="2" s="1"/>
  <c r="M279" i="2" s="1"/>
  <c r="M282" i="2" s="1"/>
  <c r="M285" i="2" s="1"/>
  <c r="M288" i="2" s="1"/>
  <c r="M291" i="2" s="1"/>
  <c r="M294" i="2" s="1"/>
  <c r="M297" i="2" s="1"/>
  <c r="M300" i="2" s="1"/>
  <c r="M303" i="2" s="1"/>
  <c r="M321" i="2" s="1"/>
  <c r="M324" i="2" s="1"/>
  <c r="M327" i="2" s="1"/>
  <c r="N117" i="2"/>
  <c r="O117" i="2"/>
  <c r="O120" i="2" s="1"/>
  <c r="O123" i="2" s="1"/>
  <c r="O126" i="2" s="1"/>
  <c r="O129" i="2" s="1"/>
  <c r="O132" i="2" s="1"/>
  <c r="O135" i="2" s="1"/>
  <c r="O138" i="2" s="1"/>
  <c r="O141" i="2" s="1"/>
  <c r="O144" i="2" s="1"/>
  <c r="O147" i="2" s="1"/>
  <c r="O150" i="2" s="1"/>
  <c r="O165" i="2" s="1"/>
  <c r="O168" i="2" s="1"/>
  <c r="O171" i="2" s="1"/>
  <c r="O174" i="2" s="1"/>
  <c r="O177" i="2" s="1"/>
  <c r="O180" i="2" s="1"/>
  <c r="O183" i="2" s="1"/>
  <c r="O186" i="2" s="1"/>
  <c r="O189" i="2" s="1"/>
  <c r="O192" i="2" s="1"/>
  <c r="O195" i="2" s="1"/>
  <c r="O198" i="2" s="1"/>
  <c r="O216" i="2" s="1"/>
  <c r="O219" i="2" s="1"/>
  <c r="O222" i="2" s="1"/>
  <c r="O225" i="2" s="1"/>
  <c r="O228" i="2" s="1"/>
  <c r="O231" i="2" s="1"/>
  <c r="O234" i="2" s="1"/>
  <c r="O237" i="2" s="1"/>
  <c r="O240" i="2" s="1"/>
  <c r="O243" i="2" s="1"/>
  <c r="O246" i="2" s="1"/>
  <c r="O249" i="2" s="1"/>
  <c r="O270" i="2" s="1"/>
  <c r="O273" i="2" s="1"/>
  <c r="O276" i="2" s="1"/>
  <c r="O279" i="2" s="1"/>
  <c r="O282" i="2" s="1"/>
  <c r="O285" i="2" s="1"/>
  <c r="O288" i="2" s="1"/>
  <c r="O291" i="2" s="1"/>
  <c r="O294" i="2" s="1"/>
  <c r="O297" i="2" s="1"/>
  <c r="O300" i="2" s="1"/>
  <c r="O303" i="2" s="1"/>
  <c r="O321" i="2" s="1"/>
  <c r="O324" i="2" s="1"/>
  <c r="P117" i="2"/>
  <c r="Q117" i="2"/>
  <c r="Q120" i="2" s="1"/>
  <c r="Q123" i="2" s="1"/>
  <c r="Q126" i="2" s="1"/>
  <c r="Q129" i="2" s="1"/>
  <c r="Q132" i="2" s="1"/>
  <c r="Q135" i="2" s="1"/>
  <c r="Q138" i="2" s="1"/>
  <c r="Q141" i="2" s="1"/>
  <c r="Q144" i="2" s="1"/>
  <c r="Q147" i="2" s="1"/>
  <c r="Q150" i="2" s="1"/>
  <c r="Q165" i="2" s="1"/>
  <c r="Q168" i="2" s="1"/>
  <c r="Q171" i="2" s="1"/>
  <c r="Q174" i="2" s="1"/>
  <c r="Q177" i="2" s="1"/>
  <c r="Q180" i="2" s="1"/>
  <c r="Q183" i="2" s="1"/>
  <c r="Q186" i="2" s="1"/>
  <c r="Q189" i="2" s="1"/>
  <c r="Q192" i="2" s="1"/>
  <c r="Q195" i="2" s="1"/>
  <c r="Q198" i="2" s="1"/>
  <c r="Q216" i="2" s="1"/>
  <c r="Q219" i="2" s="1"/>
  <c r="Q222" i="2" s="1"/>
  <c r="Q225" i="2" s="1"/>
  <c r="Q228" i="2" s="1"/>
  <c r="Q231" i="2" s="1"/>
  <c r="Q234" i="2" s="1"/>
  <c r="Q237" i="2" s="1"/>
  <c r="Q240" i="2" s="1"/>
  <c r="Q243" i="2" s="1"/>
  <c r="Q246" i="2" s="1"/>
  <c r="Q249" i="2" s="1"/>
  <c r="Q270" i="2" s="1"/>
  <c r="Q273" i="2" s="1"/>
  <c r="Q276" i="2" s="1"/>
  <c r="Q279" i="2" s="1"/>
  <c r="Q282" i="2" s="1"/>
  <c r="Q285" i="2" s="1"/>
  <c r="Q288" i="2" s="1"/>
  <c r="Q291" i="2" s="1"/>
  <c r="Q294" i="2" s="1"/>
  <c r="Q297" i="2" s="1"/>
  <c r="Q300" i="2" s="1"/>
  <c r="Q303" i="2" s="1"/>
  <c r="Q321" i="2" s="1"/>
  <c r="Q324" i="2" s="1"/>
  <c r="Q327" i="2" s="1"/>
  <c r="Q330" i="2" s="1"/>
  <c r="Q333" i="2" s="1"/>
  <c r="Q336" i="2" s="1"/>
  <c r="Q339" i="2" s="1"/>
  <c r="Q342" i="2" s="1"/>
  <c r="Q345" i="2" s="1"/>
  <c r="Q348" i="2" s="1"/>
  <c r="Q351" i="2" s="1"/>
  <c r="Q354" i="2" s="1"/>
  <c r="Q368" i="2" s="1"/>
  <c r="Q371" i="2" s="1"/>
  <c r="Q374" i="2" s="1"/>
  <c r="Q377" i="2" s="1"/>
  <c r="Q380" i="2" s="1"/>
  <c r="Q383" i="2" s="1"/>
  <c r="Q386" i="2" s="1"/>
  <c r="Q389" i="2" s="1"/>
  <c r="Q392" i="2" s="1"/>
  <c r="Q395" i="2" s="1"/>
  <c r="Q398" i="2" s="1"/>
  <c r="Q401" i="2" s="1"/>
  <c r="Q415" i="2" s="1"/>
  <c r="Q418" i="2" s="1"/>
  <c r="Q421" i="2" s="1"/>
  <c r="Q424" i="2" s="1"/>
  <c r="Q427" i="2" s="1"/>
  <c r="Q430" i="2" s="1"/>
  <c r="Q433" i="2" s="1"/>
  <c r="Q436" i="2" s="1"/>
  <c r="Q439" i="2" s="1"/>
  <c r="Q442" i="2" s="1"/>
  <c r="Q445" i="2" s="1"/>
  <c r="Q448" i="2" s="1"/>
  <c r="Q462" i="2" s="1"/>
  <c r="Q465" i="2" s="1"/>
  <c r="Q468" i="2" s="1"/>
  <c r="Q471" i="2" s="1"/>
  <c r="Q474" i="2" s="1"/>
  <c r="Q477" i="2" s="1"/>
  <c r="Q480" i="2" s="1"/>
  <c r="Q483" i="2" s="1"/>
  <c r="Q486" i="2" s="1"/>
  <c r="Q489" i="2" s="1"/>
  <c r="Q492" i="2" s="1"/>
  <c r="Q495" i="2" s="1"/>
  <c r="Q509" i="2" s="1"/>
  <c r="Q512" i="2" s="1"/>
  <c r="Q515" i="2" s="1"/>
  <c r="Q518" i="2" s="1"/>
  <c r="Q521" i="2" s="1"/>
  <c r="Q524" i="2" s="1"/>
  <c r="Q527" i="2" s="1"/>
  <c r="Q530" i="2" s="1"/>
  <c r="Q533" i="2" s="1"/>
  <c r="Q536" i="2" s="1"/>
  <c r="Q539" i="2" s="1"/>
  <c r="Q542" i="2" s="1"/>
  <c r="Q556" i="2" s="1"/>
  <c r="G119" i="2"/>
  <c r="G120" i="2"/>
  <c r="R119" i="2"/>
  <c r="S119" i="2"/>
  <c r="C120" i="2"/>
  <c r="C123" i="2" s="1"/>
  <c r="J120" i="2"/>
  <c r="J123" i="2"/>
  <c r="J126" i="2" s="1"/>
  <c r="J129" i="2" s="1"/>
  <c r="J132" i="2" s="1"/>
  <c r="J135" i="2" s="1"/>
  <c r="J138" i="2" s="1"/>
  <c r="J141" i="2" s="1"/>
  <c r="J144" i="2" s="1"/>
  <c r="J147" i="2" s="1"/>
  <c r="J150" i="2" s="1"/>
  <c r="J165" i="2" s="1"/>
  <c r="J168" i="2" s="1"/>
  <c r="J171" i="2" s="1"/>
  <c r="J174" i="2" s="1"/>
  <c r="J177" i="2" s="1"/>
  <c r="J180" i="2" s="1"/>
  <c r="J183" i="2" s="1"/>
  <c r="J186" i="2" s="1"/>
  <c r="J189" i="2" s="1"/>
  <c r="J192" i="2" s="1"/>
  <c r="J195" i="2" s="1"/>
  <c r="J198" i="2" s="1"/>
  <c r="J216" i="2" s="1"/>
  <c r="J219" i="2" s="1"/>
  <c r="J222" i="2" s="1"/>
  <c r="J225" i="2" s="1"/>
  <c r="J228" i="2" s="1"/>
  <c r="J231" i="2" s="1"/>
  <c r="J234" i="2" s="1"/>
  <c r="J237" i="2" s="1"/>
  <c r="J240" i="2" s="1"/>
  <c r="J243" i="2" s="1"/>
  <c r="J246" i="2" s="1"/>
  <c r="J249" i="2" s="1"/>
  <c r="J270" i="2" s="1"/>
  <c r="J273" i="2" s="1"/>
  <c r="J276" i="2" s="1"/>
  <c r="J279" i="2" s="1"/>
  <c r="J282" i="2" s="1"/>
  <c r="J285" i="2" s="1"/>
  <c r="J288" i="2" s="1"/>
  <c r="J291" i="2" s="1"/>
  <c r="J294" i="2" s="1"/>
  <c r="J297" i="2" s="1"/>
  <c r="J300" i="2" s="1"/>
  <c r="J303" i="2" s="1"/>
  <c r="J321" i="2" s="1"/>
  <c r="J324" i="2" s="1"/>
  <c r="J327" i="2" s="1"/>
  <c r="J330" i="2" s="1"/>
  <c r="J333" i="2" s="1"/>
  <c r="J336" i="2" s="1"/>
  <c r="J339" i="2" s="1"/>
  <c r="J342" i="2" s="1"/>
  <c r="J345" i="2" s="1"/>
  <c r="J348" i="2" s="1"/>
  <c r="J351" i="2" s="1"/>
  <c r="J354" i="2" s="1"/>
  <c r="J368" i="2" s="1"/>
  <c r="J371" i="2" s="1"/>
  <c r="J374" i="2" s="1"/>
  <c r="J377" i="2" s="1"/>
  <c r="J380" i="2" s="1"/>
  <c r="J383" i="2" s="1"/>
  <c r="J386" i="2" s="1"/>
  <c r="J389" i="2" s="1"/>
  <c r="J392" i="2" s="1"/>
  <c r="J395" i="2" s="1"/>
  <c r="J398" i="2" s="1"/>
  <c r="J401" i="2" s="1"/>
  <c r="J415" i="2" s="1"/>
  <c r="J418" i="2" s="1"/>
  <c r="J421" i="2" s="1"/>
  <c r="J424" i="2" s="1"/>
  <c r="J427" i="2" s="1"/>
  <c r="J430" i="2" s="1"/>
  <c r="J433" i="2" s="1"/>
  <c r="J436" i="2" s="1"/>
  <c r="J439" i="2" s="1"/>
  <c r="J442" i="2" s="1"/>
  <c r="J445" i="2" s="1"/>
  <c r="J448" i="2" s="1"/>
  <c r="J462" i="2" s="1"/>
  <c r="J465" i="2" s="1"/>
  <c r="J468" i="2" s="1"/>
  <c r="J471" i="2" s="1"/>
  <c r="J474" i="2" s="1"/>
  <c r="J477" i="2" s="1"/>
  <c r="J480" i="2" s="1"/>
  <c r="J483" i="2" s="1"/>
  <c r="J486" i="2" s="1"/>
  <c r="J489" i="2" s="1"/>
  <c r="J492" i="2" s="1"/>
  <c r="L120" i="2"/>
  <c r="L123" i="2" s="1"/>
  <c r="L126" i="2" s="1"/>
  <c r="L129" i="2" s="1"/>
  <c r="L132" i="2" s="1"/>
  <c r="L135" i="2" s="1"/>
  <c r="L138" i="2" s="1"/>
  <c r="L141" i="2" s="1"/>
  <c r="L144" i="2" s="1"/>
  <c r="L147" i="2" s="1"/>
  <c r="L150" i="2" s="1"/>
  <c r="L165" i="2" s="1"/>
  <c r="L168" i="2" s="1"/>
  <c r="L171" i="2" s="1"/>
  <c r="L174" i="2" s="1"/>
  <c r="L177" i="2" s="1"/>
  <c r="L180" i="2" s="1"/>
  <c r="L183" i="2" s="1"/>
  <c r="L186" i="2" s="1"/>
  <c r="L189" i="2" s="1"/>
  <c r="L192" i="2" s="1"/>
  <c r="L195" i="2" s="1"/>
  <c r="L198" i="2" s="1"/>
  <c r="L216" i="2" s="1"/>
  <c r="L219" i="2" s="1"/>
  <c r="L222" i="2" s="1"/>
  <c r="L225" i="2" s="1"/>
  <c r="L228" i="2" s="1"/>
  <c r="L231" i="2" s="1"/>
  <c r="L234" i="2" s="1"/>
  <c r="L237" i="2" s="1"/>
  <c r="L240" i="2" s="1"/>
  <c r="L243" i="2" s="1"/>
  <c r="L246" i="2" s="1"/>
  <c r="L249" i="2" s="1"/>
  <c r="L270" i="2" s="1"/>
  <c r="L273" i="2" s="1"/>
  <c r="L276" i="2" s="1"/>
  <c r="L279" i="2" s="1"/>
  <c r="L282" i="2" s="1"/>
  <c r="L285" i="2" s="1"/>
  <c r="L288" i="2" s="1"/>
  <c r="L291" i="2" s="1"/>
  <c r="L294" i="2" s="1"/>
  <c r="L297" i="2" s="1"/>
  <c r="L300" i="2" s="1"/>
  <c r="L303" i="2" s="1"/>
  <c r="L321" i="2" s="1"/>
  <c r="L324" i="2" s="1"/>
  <c r="L327" i="2" s="1"/>
  <c r="L330" i="2" s="1"/>
  <c r="L333" i="2" s="1"/>
  <c r="L336" i="2" s="1"/>
  <c r="N120" i="2"/>
  <c r="N123" i="2"/>
  <c r="N126" i="2" s="1"/>
  <c r="N129" i="2" s="1"/>
  <c r="N132" i="2" s="1"/>
  <c r="N135" i="2" s="1"/>
  <c r="N138" i="2" s="1"/>
  <c r="N141" i="2" s="1"/>
  <c r="N144" i="2" s="1"/>
  <c r="N147" i="2" s="1"/>
  <c r="N150" i="2" s="1"/>
  <c r="N165" i="2" s="1"/>
  <c r="N168" i="2" s="1"/>
  <c r="N171" i="2" s="1"/>
  <c r="N174" i="2" s="1"/>
  <c r="N177" i="2" s="1"/>
  <c r="N180" i="2" s="1"/>
  <c r="N183" i="2" s="1"/>
  <c r="N186" i="2" s="1"/>
  <c r="N189" i="2" s="1"/>
  <c r="N192" i="2" s="1"/>
  <c r="N195" i="2" s="1"/>
  <c r="N198" i="2" s="1"/>
  <c r="N216" i="2" s="1"/>
  <c r="N219" i="2" s="1"/>
  <c r="N222" i="2" s="1"/>
  <c r="N225" i="2" s="1"/>
  <c r="N228" i="2" s="1"/>
  <c r="N231" i="2" s="1"/>
  <c r="N234" i="2" s="1"/>
  <c r="N237" i="2" s="1"/>
  <c r="N240" i="2" s="1"/>
  <c r="N243" i="2" s="1"/>
  <c r="N246" i="2" s="1"/>
  <c r="N249" i="2" s="1"/>
  <c r="N270" i="2" s="1"/>
  <c r="N273" i="2" s="1"/>
  <c r="N276" i="2" s="1"/>
  <c r="N279" i="2" s="1"/>
  <c r="N282" i="2" s="1"/>
  <c r="N285" i="2" s="1"/>
  <c r="N288" i="2" s="1"/>
  <c r="N291" i="2" s="1"/>
  <c r="N294" i="2" s="1"/>
  <c r="N297" i="2" s="1"/>
  <c r="N300" i="2" s="1"/>
  <c r="N303" i="2" s="1"/>
  <c r="N321" i="2" s="1"/>
  <c r="N324" i="2" s="1"/>
  <c r="N327" i="2" s="1"/>
  <c r="N330" i="2" s="1"/>
  <c r="P120" i="2"/>
  <c r="P123" i="2" s="1"/>
  <c r="P126" i="2" s="1"/>
  <c r="P129" i="2" s="1"/>
  <c r="P132" i="2" s="1"/>
  <c r="P135" i="2" s="1"/>
  <c r="P138" i="2" s="1"/>
  <c r="P141" i="2" s="1"/>
  <c r="P144" i="2" s="1"/>
  <c r="P147" i="2" s="1"/>
  <c r="P150" i="2" s="1"/>
  <c r="P165" i="2" s="1"/>
  <c r="P168" i="2" s="1"/>
  <c r="P171" i="2" s="1"/>
  <c r="P174" i="2" s="1"/>
  <c r="P177" i="2" s="1"/>
  <c r="P180" i="2" s="1"/>
  <c r="P183" i="2" s="1"/>
  <c r="P186" i="2" s="1"/>
  <c r="P189" i="2" s="1"/>
  <c r="P192" i="2" s="1"/>
  <c r="P195" i="2" s="1"/>
  <c r="P198" i="2" s="1"/>
  <c r="P216" i="2" s="1"/>
  <c r="P219" i="2" s="1"/>
  <c r="P222" i="2" s="1"/>
  <c r="P225" i="2" s="1"/>
  <c r="P228" i="2" s="1"/>
  <c r="P231" i="2" s="1"/>
  <c r="P234" i="2" s="1"/>
  <c r="P237" i="2" s="1"/>
  <c r="P240" i="2" s="1"/>
  <c r="P243" i="2" s="1"/>
  <c r="P246" i="2" s="1"/>
  <c r="P249" i="2" s="1"/>
  <c r="P270" i="2" s="1"/>
  <c r="P273" i="2" s="1"/>
  <c r="P276" i="2" s="1"/>
  <c r="P279" i="2" s="1"/>
  <c r="P282" i="2" s="1"/>
  <c r="P285" i="2" s="1"/>
  <c r="P288" i="2" s="1"/>
  <c r="P291" i="2" s="1"/>
  <c r="P294" i="2" s="1"/>
  <c r="P297" i="2" s="1"/>
  <c r="P300" i="2" s="1"/>
  <c r="P303" i="2" s="1"/>
  <c r="G122" i="2"/>
  <c r="R122" i="2"/>
  <c r="S122" i="2"/>
  <c r="B123" i="2"/>
  <c r="B126" i="2" s="1"/>
  <c r="B129" i="2" s="1"/>
  <c r="B132" i="2" s="1"/>
  <c r="B135" i="2" s="1"/>
  <c r="B138" i="2" s="1"/>
  <c r="B141" i="2" s="1"/>
  <c r="B144" i="2" s="1"/>
  <c r="B147" i="2" s="1"/>
  <c r="B150" i="2" s="1"/>
  <c r="B165" i="2" s="1"/>
  <c r="B168" i="2" s="1"/>
  <c r="B171" i="2" s="1"/>
  <c r="B174" i="2" s="1"/>
  <c r="B177" i="2" s="1"/>
  <c r="B180" i="2" s="1"/>
  <c r="B183" i="2" s="1"/>
  <c r="B186" i="2" s="1"/>
  <c r="B189" i="2" s="1"/>
  <c r="B192" i="2" s="1"/>
  <c r="B195" i="2" s="1"/>
  <c r="B198" i="2" s="1"/>
  <c r="B216" i="2" s="1"/>
  <c r="B219" i="2" s="1"/>
  <c r="B222" i="2" s="1"/>
  <c r="B225" i="2" s="1"/>
  <c r="B228" i="2" s="1"/>
  <c r="B231" i="2" s="1"/>
  <c r="B234" i="2" s="1"/>
  <c r="B237" i="2" s="1"/>
  <c r="B240" i="2" s="1"/>
  <c r="B243" i="2" s="1"/>
  <c r="B246" i="2" s="1"/>
  <c r="B249" i="2" s="1"/>
  <c r="B270" i="2" s="1"/>
  <c r="B273" i="2" s="1"/>
  <c r="B276" i="2" s="1"/>
  <c r="B279" i="2" s="1"/>
  <c r="B282" i="2" s="1"/>
  <c r="B285" i="2" s="1"/>
  <c r="B288" i="2" s="1"/>
  <c r="B291" i="2" s="1"/>
  <c r="B294" i="2" s="1"/>
  <c r="B297" i="2" s="1"/>
  <c r="B300" i="2" s="1"/>
  <c r="B303" i="2" s="1"/>
  <c r="B321" i="2" s="1"/>
  <c r="B324" i="2" s="1"/>
  <c r="B327" i="2" s="1"/>
  <c r="B330" i="2" s="1"/>
  <c r="B333" i="2" s="1"/>
  <c r="B336" i="2" s="1"/>
  <c r="B339" i="2" s="1"/>
  <c r="B342" i="2" s="1"/>
  <c r="B345" i="2" s="1"/>
  <c r="B348" i="2" s="1"/>
  <c r="B351" i="2" s="1"/>
  <c r="B354" i="2" s="1"/>
  <c r="B368" i="2" s="1"/>
  <c r="B371" i="2" s="1"/>
  <c r="B374" i="2" s="1"/>
  <c r="B377" i="2" s="1"/>
  <c r="B380" i="2" s="1"/>
  <c r="B383" i="2" s="1"/>
  <c r="B386" i="2" s="1"/>
  <c r="B389" i="2" s="1"/>
  <c r="B392" i="2" s="1"/>
  <c r="B395" i="2" s="1"/>
  <c r="B398" i="2" s="1"/>
  <c r="B401" i="2" s="1"/>
  <c r="B415" i="2" s="1"/>
  <c r="B418" i="2" s="1"/>
  <c r="B421" i="2" s="1"/>
  <c r="B424" i="2" s="1"/>
  <c r="B427" i="2" s="1"/>
  <c r="B430" i="2" s="1"/>
  <c r="B433" i="2" s="1"/>
  <c r="B436" i="2" s="1"/>
  <c r="B439" i="2" s="1"/>
  <c r="B442" i="2" s="1"/>
  <c r="B445" i="2" s="1"/>
  <c r="B448" i="2" s="1"/>
  <c r="B462" i="2" s="1"/>
  <c r="B465" i="2" s="1"/>
  <c r="B468" i="2" s="1"/>
  <c r="B471" i="2" s="1"/>
  <c r="B474" i="2" s="1"/>
  <c r="B477" i="2" s="1"/>
  <c r="B480" i="2" s="1"/>
  <c r="B483" i="2" s="1"/>
  <c r="B486" i="2" s="1"/>
  <c r="B489" i="2" s="1"/>
  <c r="B492" i="2" s="1"/>
  <c r="B495" i="2" s="1"/>
  <c r="B509" i="2" s="1"/>
  <c r="B512" i="2" s="1"/>
  <c r="B515" i="2" s="1"/>
  <c r="B518" i="2" s="1"/>
  <c r="B521" i="2" s="1"/>
  <c r="B524" i="2" s="1"/>
  <c r="B527" i="2" s="1"/>
  <c r="B530" i="2" s="1"/>
  <c r="B533" i="2" s="1"/>
  <c r="B536" i="2" s="1"/>
  <c r="B539" i="2" s="1"/>
  <c r="B542" i="2" s="1"/>
  <c r="B556" i="2" s="1"/>
  <c r="B559" i="2" s="1"/>
  <c r="B562" i="2" s="1"/>
  <c r="K123" i="2"/>
  <c r="K126" i="2" s="1"/>
  <c r="K129" i="2" s="1"/>
  <c r="K132" i="2" s="1"/>
  <c r="K135" i="2" s="1"/>
  <c r="K138" i="2" s="1"/>
  <c r="K141" i="2" s="1"/>
  <c r="K144" i="2" s="1"/>
  <c r="K147" i="2" s="1"/>
  <c r="K150" i="2" s="1"/>
  <c r="K165" i="2" s="1"/>
  <c r="K168" i="2" s="1"/>
  <c r="K171" i="2" s="1"/>
  <c r="K174" i="2" s="1"/>
  <c r="K177" i="2" s="1"/>
  <c r="K180" i="2" s="1"/>
  <c r="K183" i="2" s="1"/>
  <c r="K186" i="2" s="1"/>
  <c r="K189" i="2" s="1"/>
  <c r="K192" i="2" s="1"/>
  <c r="K195" i="2" s="1"/>
  <c r="K198" i="2" s="1"/>
  <c r="K216" i="2" s="1"/>
  <c r="K219" i="2" s="1"/>
  <c r="K222" i="2" s="1"/>
  <c r="K225" i="2" s="1"/>
  <c r="K228" i="2" s="1"/>
  <c r="K231" i="2" s="1"/>
  <c r="K234" i="2" s="1"/>
  <c r="K237" i="2" s="1"/>
  <c r="K240" i="2" s="1"/>
  <c r="K243" i="2" s="1"/>
  <c r="K246" i="2" s="1"/>
  <c r="K249" i="2" s="1"/>
  <c r="K270" i="2" s="1"/>
  <c r="K273" i="2" s="1"/>
  <c r="K276" i="2" s="1"/>
  <c r="K279" i="2" s="1"/>
  <c r="K282" i="2" s="1"/>
  <c r="K285" i="2" s="1"/>
  <c r="K288" i="2" s="1"/>
  <c r="K291" i="2" s="1"/>
  <c r="K294" i="2" s="1"/>
  <c r="K297" i="2" s="1"/>
  <c r="K300" i="2" s="1"/>
  <c r="K303" i="2" s="1"/>
  <c r="K321" i="2" s="1"/>
  <c r="G125" i="2"/>
  <c r="R125" i="2"/>
  <c r="S125" i="2" s="1"/>
  <c r="C126" i="2"/>
  <c r="C129" i="2" s="1"/>
  <c r="C132" i="2" s="1"/>
  <c r="C135" i="2" s="1"/>
  <c r="C138" i="2" s="1"/>
  <c r="C141" i="2" s="1"/>
  <c r="C144" i="2" s="1"/>
  <c r="C147" i="2" s="1"/>
  <c r="C150" i="2" s="1"/>
  <c r="C165" i="2" s="1"/>
  <c r="C168" i="2" s="1"/>
  <c r="C171" i="2" s="1"/>
  <c r="C174" i="2" s="1"/>
  <c r="C177" i="2" s="1"/>
  <c r="C180" i="2" s="1"/>
  <c r="C183" i="2" s="1"/>
  <c r="C186" i="2" s="1"/>
  <c r="C189" i="2" s="1"/>
  <c r="C192" i="2" s="1"/>
  <c r="C195" i="2" s="1"/>
  <c r="C198" i="2" s="1"/>
  <c r="C216" i="2" s="1"/>
  <c r="C219" i="2" s="1"/>
  <c r="C222" i="2" s="1"/>
  <c r="C225" i="2" s="1"/>
  <c r="C228" i="2" s="1"/>
  <c r="C231" i="2" s="1"/>
  <c r="C234" i="2" s="1"/>
  <c r="C237" i="2" s="1"/>
  <c r="C240" i="2" s="1"/>
  <c r="C243" i="2" s="1"/>
  <c r="C246" i="2" s="1"/>
  <c r="C249" i="2" s="1"/>
  <c r="C270" i="2" s="1"/>
  <c r="C273" i="2" s="1"/>
  <c r="C276" i="2" s="1"/>
  <c r="C279" i="2" s="1"/>
  <c r="C282" i="2" s="1"/>
  <c r="C285" i="2" s="1"/>
  <c r="C288" i="2" s="1"/>
  <c r="C291" i="2" s="1"/>
  <c r="C294" i="2" s="1"/>
  <c r="C297" i="2" s="1"/>
  <c r="C300" i="2" s="1"/>
  <c r="C303" i="2" s="1"/>
  <c r="C321" i="2" s="1"/>
  <c r="C324" i="2" s="1"/>
  <c r="C327" i="2" s="1"/>
  <c r="C330" i="2" s="1"/>
  <c r="C333" i="2" s="1"/>
  <c r="C336" i="2" s="1"/>
  <c r="G128" i="2"/>
  <c r="R128" i="2"/>
  <c r="S128" i="2" s="1"/>
  <c r="G131" i="2"/>
  <c r="R131" i="2"/>
  <c r="S131" i="2" s="1"/>
  <c r="G134" i="2"/>
  <c r="R134" i="2"/>
  <c r="S134" i="2" s="1"/>
  <c r="G137" i="2"/>
  <c r="R137" i="2"/>
  <c r="S137" i="2" s="1"/>
  <c r="G140" i="2"/>
  <c r="R140" i="2"/>
  <c r="S140" i="2"/>
  <c r="G143" i="2"/>
  <c r="R143" i="2"/>
  <c r="S143" i="2" s="1"/>
  <c r="G146" i="2"/>
  <c r="R146" i="2"/>
  <c r="S146" i="2"/>
  <c r="G149" i="2"/>
  <c r="R149" i="2"/>
  <c r="L156" i="2"/>
  <c r="M156" i="2"/>
  <c r="O156" i="2"/>
  <c r="G164" i="2"/>
  <c r="R164" i="2"/>
  <c r="S164" i="2" s="1"/>
  <c r="G167" i="2"/>
  <c r="R167" i="2"/>
  <c r="G170" i="2"/>
  <c r="R170" i="2"/>
  <c r="S170" i="2" s="1"/>
  <c r="G173" i="2"/>
  <c r="S173" i="2" s="1"/>
  <c r="R173" i="2"/>
  <c r="G176" i="2"/>
  <c r="R176" i="2"/>
  <c r="G179" i="2"/>
  <c r="R179" i="2"/>
  <c r="S179" i="2"/>
  <c r="G182" i="2"/>
  <c r="R182" i="2"/>
  <c r="G185" i="2"/>
  <c r="R185" i="2"/>
  <c r="S185" i="2" s="1"/>
  <c r="G188" i="2"/>
  <c r="R188" i="2"/>
  <c r="S188" i="2" s="1"/>
  <c r="G191" i="2"/>
  <c r="R191" i="2"/>
  <c r="S191" i="2" s="1"/>
  <c r="G194" i="2"/>
  <c r="R194" i="2"/>
  <c r="S194" i="2" s="1"/>
  <c r="G197" i="2"/>
  <c r="R197" i="2"/>
  <c r="S197" i="2"/>
  <c r="L207" i="2"/>
  <c r="M207" i="2"/>
  <c r="G215" i="2"/>
  <c r="R215" i="2"/>
  <c r="S215" i="2" s="1"/>
  <c r="G218" i="2"/>
  <c r="R218" i="2"/>
  <c r="G221" i="2"/>
  <c r="R221" i="2"/>
  <c r="S221" i="2" s="1"/>
  <c r="G224" i="2"/>
  <c r="S224" i="2" s="1"/>
  <c r="R224" i="2"/>
  <c r="G227" i="2"/>
  <c r="R227" i="2"/>
  <c r="G230" i="2"/>
  <c r="R230" i="2"/>
  <c r="S230" i="2"/>
  <c r="G233" i="2"/>
  <c r="R233" i="2"/>
  <c r="G236" i="2"/>
  <c r="R236" i="2"/>
  <c r="S236" i="2" s="1"/>
  <c r="G239" i="2"/>
  <c r="R239" i="2"/>
  <c r="S239" i="2" s="1"/>
  <c r="G242" i="2"/>
  <c r="R242" i="2"/>
  <c r="S242" i="2" s="1"/>
  <c r="G245" i="2"/>
  <c r="R245" i="2"/>
  <c r="S245" i="2" s="1"/>
  <c r="G248" i="2"/>
  <c r="R248" i="2"/>
  <c r="S248" i="2"/>
  <c r="L261" i="2"/>
  <c r="M261" i="2"/>
  <c r="G269" i="2"/>
  <c r="R269" i="2"/>
  <c r="W269" i="2" s="1"/>
  <c r="G272" i="2"/>
  <c r="R272" i="2"/>
  <c r="G275" i="2"/>
  <c r="R275" i="2"/>
  <c r="W275" i="2" s="1"/>
  <c r="G278" i="2"/>
  <c r="W278" i="2" s="1"/>
  <c r="R278" i="2"/>
  <c r="G281" i="2"/>
  <c r="R281" i="2"/>
  <c r="G284" i="2"/>
  <c r="R284" i="2"/>
  <c r="S284" i="2"/>
  <c r="S285" i="2"/>
  <c r="S288" i="2" s="1"/>
  <c r="G287" i="2"/>
  <c r="R287" i="2"/>
  <c r="W287" i="2" s="1"/>
  <c r="S287" i="2"/>
  <c r="G290" i="2"/>
  <c r="R290" i="2"/>
  <c r="S290" i="2"/>
  <c r="W290" i="2" s="1"/>
  <c r="G293" i="2"/>
  <c r="W293" i="2" s="1"/>
  <c r="R293" i="2"/>
  <c r="S293" i="2"/>
  <c r="G296" i="2"/>
  <c r="R296" i="2"/>
  <c r="G299" i="2"/>
  <c r="R299" i="2"/>
  <c r="W299" i="2"/>
  <c r="G302" i="2"/>
  <c r="R302" i="2"/>
  <c r="W302" i="2" s="1"/>
  <c r="L312" i="2"/>
  <c r="M312" i="2"/>
  <c r="G320" i="2"/>
  <c r="K320" i="2"/>
  <c r="L320" i="2"/>
  <c r="O320" i="2"/>
  <c r="P320" i="2"/>
  <c r="C323" i="2"/>
  <c r="D323" i="2"/>
  <c r="G323" i="2" s="1"/>
  <c r="K323" i="2"/>
  <c r="L323" i="2"/>
  <c r="P323" i="2"/>
  <c r="C326" i="2"/>
  <c r="F326" i="2"/>
  <c r="G326" i="2" s="1"/>
  <c r="K326" i="2"/>
  <c r="L326" i="2"/>
  <c r="O326" i="2"/>
  <c r="C329" i="2"/>
  <c r="D329" i="2"/>
  <c r="E329" i="2"/>
  <c r="F329" i="2"/>
  <c r="K329" i="2"/>
  <c r="L329" i="2"/>
  <c r="M329" i="2"/>
  <c r="N329" i="2"/>
  <c r="O329" i="2"/>
  <c r="P329" i="2"/>
  <c r="S329" i="2"/>
  <c r="C332" i="2"/>
  <c r="D332" i="2"/>
  <c r="G332" i="2" s="1"/>
  <c r="E332" i="2"/>
  <c r="F332" i="2"/>
  <c r="K332" i="2"/>
  <c r="L332" i="2"/>
  <c r="M332" i="2"/>
  <c r="N332" i="2"/>
  <c r="O332" i="2"/>
  <c r="P332" i="2"/>
  <c r="S332" i="2"/>
  <c r="C335" i="2"/>
  <c r="G335" i="2"/>
  <c r="D335" i="2"/>
  <c r="F335" i="2"/>
  <c r="K335" i="2"/>
  <c r="R335" i="2" s="1"/>
  <c r="L335" i="2"/>
  <c r="M335" i="2"/>
  <c r="N335" i="2"/>
  <c r="O335" i="2"/>
  <c r="P335" i="2"/>
  <c r="S335" i="2"/>
  <c r="C338" i="2"/>
  <c r="D338" i="2"/>
  <c r="E338" i="2"/>
  <c r="I338" i="2"/>
  <c r="K338" i="2"/>
  <c r="L338" i="2"/>
  <c r="M338" i="2"/>
  <c r="N338" i="2"/>
  <c r="O338" i="2"/>
  <c r="P338" i="2"/>
  <c r="S338" i="2"/>
  <c r="C341" i="2"/>
  <c r="D341" i="2"/>
  <c r="E341" i="2"/>
  <c r="F341" i="2"/>
  <c r="I341" i="2"/>
  <c r="K341" i="2"/>
  <c r="L341" i="2"/>
  <c r="M341" i="2"/>
  <c r="N341" i="2"/>
  <c r="O341" i="2"/>
  <c r="P341" i="2"/>
  <c r="S341" i="2"/>
  <c r="C344" i="2"/>
  <c r="D344" i="2"/>
  <c r="E344" i="2"/>
  <c r="F344" i="2"/>
  <c r="K344" i="2"/>
  <c r="L344" i="2"/>
  <c r="R344" i="2" s="1"/>
  <c r="M344" i="2"/>
  <c r="N344" i="2"/>
  <c r="O344" i="2"/>
  <c r="P344" i="2"/>
  <c r="S344" i="2"/>
  <c r="C347" i="2"/>
  <c r="D347" i="2"/>
  <c r="F347" i="2"/>
  <c r="I347" i="2"/>
  <c r="K347" i="2"/>
  <c r="L347" i="2"/>
  <c r="N347" i="2"/>
  <c r="O347" i="2"/>
  <c r="R347" i="2" s="1"/>
  <c r="P347" i="2"/>
  <c r="C350" i="2"/>
  <c r="G350" i="2" s="1"/>
  <c r="D350" i="2"/>
  <c r="K350" i="2"/>
  <c r="L350" i="2"/>
  <c r="N350" i="2"/>
  <c r="R350" i="2" s="1"/>
  <c r="O350" i="2"/>
  <c r="P350" i="2"/>
  <c r="C353" i="2"/>
  <c r="D353" i="2"/>
  <c r="E353" i="2"/>
  <c r="F353" i="2"/>
  <c r="I353" i="2"/>
  <c r="K353" i="2"/>
  <c r="L353" i="2"/>
  <c r="N353" i="2"/>
  <c r="O353" i="2"/>
  <c r="P353" i="2"/>
  <c r="L359" i="2"/>
  <c r="M359" i="2"/>
  <c r="G367" i="2"/>
  <c r="R367" i="2"/>
  <c r="W367" i="2" s="1"/>
  <c r="G370" i="2"/>
  <c r="R370" i="2"/>
  <c r="W370" i="2" s="1"/>
  <c r="G373" i="2"/>
  <c r="R373" i="2"/>
  <c r="W373" i="2"/>
  <c r="G376" i="2"/>
  <c r="K376" i="2"/>
  <c r="R376" i="2" s="1"/>
  <c r="W376" i="2" s="1"/>
  <c r="S376" i="2"/>
  <c r="G379" i="2"/>
  <c r="R379" i="2"/>
  <c r="W379" i="2" s="1"/>
  <c r="S379" i="2"/>
  <c r="G382" i="2"/>
  <c r="R382" i="2"/>
  <c r="S382" i="2"/>
  <c r="G385" i="2"/>
  <c r="W385" i="2" s="1"/>
  <c r="R385" i="2"/>
  <c r="G388" i="2"/>
  <c r="R388" i="2"/>
  <c r="G391" i="2"/>
  <c r="R391" i="2"/>
  <c r="W391" i="2"/>
  <c r="G394" i="2"/>
  <c r="R394" i="2"/>
  <c r="G397" i="2"/>
  <c r="R397" i="2"/>
  <c r="W397" i="2" s="1"/>
  <c r="G400" i="2"/>
  <c r="R400" i="2"/>
  <c r="W400" i="2" s="1"/>
  <c r="G414" i="2"/>
  <c r="R414" i="2"/>
  <c r="W414" i="2" s="1"/>
  <c r="G417" i="2"/>
  <c r="R417" i="2"/>
  <c r="W417" i="2" s="1"/>
  <c r="G420" i="2"/>
  <c r="R420" i="2"/>
  <c r="W420" i="2"/>
  <c r="G423" i="2"/>
  <c r="R423" i="2"/>
  <c r="W423" i="2" s="1"/>
  <c r="G426" i="2"/>
  <c r="R426" i="2"/>
  <c r="W426" i="2"/>
  <c r="G429" i="2"/>
  <c r="R429" i="2"/>
  <c r="G432" i="2"/>
  <c r="R432" i="2"/>
  <c r="W432" i="2"/>
  <c r="G435" i="2"/>
  <c r="R435" i="2"/>
  <c r="W435" i="2" s="1"/>
  <c r="G438" i="2"/>
  <c r="R438" i="2"/>
  <c r="G441" i="2"/>
  <c r="R441" i="2"/>
  <c r="W441" i="2" s="1"/>
  <c r="G444" i="2"/>
  <c r="W444" i="2" s="1"/>
  <c r="R444" i="2"/>
  <c r="G447" i="2"/>
  <c r="R447" i="2"/>
  <c r="G461" i="2"/>
  <c r="R461" i="2"/>
  <c r="W461" i="2"/>
  <c r="G464" i="2"/>
  <c r="R464" i="2"/>
  <c r="G467" i="2"/>
  <c r="R467" i="2"/>
  <c r="W467" i="2" s="1"/>
  <c r="G470" i="2"/>
  <c r="R470" i="2"/>
  <c r="W470" i="2" s="1"/>
  <c r="G473" i="2"/>
  <c r="R473" i="2"/>
  <c r="W473" i="2" s="1"/>
  <c r="G476" i="2"/>
  <c r="R476" i="2"/>
  <c r="W476" i="2" s="1"/>
  <c r="G479" i="2"/>
  <c r="R479" i="2"/>
  <c r="W479" i="2"/>
  <c r="G482" i="2"/>
  <c r="R482" i="2"/>
  <c r="W482" i="2" s="1"/>
  <c r="G485" i="2"/>
  <c r="R485" i="2"/>
  <c r="W485" i="2"/>
  <c r="G488" i="2"/>
  <c r="R488" i="2"/>
  <c r="G491" i="2"/>
  <c r="R491" i="2"/>
  <c r="W491" i="2"/>
  <c r="G494" i="2"/>
  <c r="R494" i="2"/>
  <c r="W494" i="2" s="1"/>
  <c r="J495" i="2"/>
  <c r="J509" i="2" s="1"/>
  <c r="J512" i="2" s="1"/>
  <c r="J515" i="2" s="1"/>
  <c r="J518" i="2" s="1"/>
  <c r="J521" i="2" s="1"/>
  <c r="J524" i="2" s="1"/>
  <c r="G508" i="2"/>
  <c r="R508" i="2"/>
  <c r="G511" i="2"/>
  <c r="R511" i="2"/>
  <c r="W511" i="2" s="1"/>
  <c r="G514" i="2"/>
  <c r="R514" i="2"/>
  <c r="W514" i="2" s="1"/>
  <c r="G517" i="2"/>
  <c r="R517" i="2"/>
  <c r="W517" i="2" s="1"/>
  <c r="G520" i="2"/>
  <c r="R520" i="2"/>
  <c r="G523" i="2"/>
  <c r="R523" i="2"/>
  <c r="G526" i="2"/>
  <c r="R526" i="2"/>
  <c r="W526" i="2" s="1"/>
  <c r="J527" i="2"/>
  <c r="G529" i="2"/>
  <c r="R529" i="2"/>
  <c r="W529" i="2" s="1"/>
  <c r="J530" i="2"/>
  <c r="J533" i="2" s="1"/>
  <c r="J536" i="2" s="1"/>
  <c r="J539" i="2" s="1"/>
  <c r="J542" i="2" s="1"/>
  <c r="J556" i="2" s="1"/>
  <c r="J559" i="2" s="1"/>
  <c r="J562" i="2" s="1"/>
  <c r="J565" i="2" s="1"/>
  <c r="J568" i="2" s="1"/>
  <c r="J571" i="2" s="1"/>
  <c r="J574" i="2" s="1"/>
  <c r="J577" i="2" s="1"/>
  <c r="J580" i="2" s="1"/>
  <c r="J583" i="2" s="1"/>
  <c r="J586" i="2" s="1"/>
  <c r="J589" i="2" s="1"/>
  <c r="J603" i="2" s="1"/>
  <c r="J606" i="2" s="1"/>
  <c r="J609" i="2" s="1"/>
  <c r="J612" i="2" s="1"/>
  <c r="J615" i="2" s="1"/>
  <c r="J618" i="2" s="1"/>
  <c r="J621" i="2" s="1"/>
  <c r="J624" i="2" s="1"/>
  <c r="J627" i="2" s="1"/>
  <c r="J630" i="2" s="1"/>
  <c r="J633" i="2" s="1"/>
  <c r="J636" i="2" s="1"/>
  <c r="J650" i="2" s="1"/>
  <c r="J653" i="2" s="1"/>
  <c r="J656" i="2" s="1"/>
  <c r="J659" i="2" s="1"/>
  <c r="J662" i="2" s="1"/>
  <c r="J665" i="2" s="1"/>
  <c r="J668" i="2" s="1"/>
  <c r="J671" i="2" s="1"/>
  <c r="J674" i="2" s="1"/>
  <c r="J677" i="2" s="1"/>
  <c r="J680" i="2" s="1"/>
  <c r="J683" i="2" s="1"/>
  <c r="J697" i="2" s="1"/>
  <c r="J700" i="2" s="1"/>
  <c r="J703" i="2" s="1"/>
  <c r="J706" i="2" s="1"/>
  <c r="J709" i="2" s="1"/>
  <c r="J712" i="2" s="1"/>
  <c r="J715" i="2" s="1"/>
  <c r="J718" i="2" s="1"/>
  <c r="J721" i="2" s="1"/>
  <c r="J724" i="2" s="1"/>
  <c r="J727" i="2" s="1"/>
  <c r="J730" i="2" s="1"/>
  <c r="J744" i="2" s="1"/>
  <c r="J747" i="2" s="1"/>
  <c r="J750" i="2" s="1"/>
  <c r="J753" i="2" s="1"/>
  <c r="J756" i="2" s="1"/>
  <c r="J759" i="2" s="1"/>
  <c r="J762" i="2" s="1"/>
  <c r="J765" i="2" s="1"/>
  <c r="J768" i="2" s="1"/>
  <c r="J771" i="2" s="1"/>
  <c r="J774" i="2" s="1"/>
  <c r="J777" i="2" s="1"/>
  <c r="J791" i="2" s="1"/>
  <c r="J794" i="2" s="1"/>
  <c r="J797" i="2" s="1"/>
  <c r="J800" i="2" s="1"/>
  <c r="J803" i="2" s="1"/>
  <c r="J806" i="2" s="1"/>
  <c r="J809" i="2" s="1"/>
  <c r="J812" i="2" s="1"/>
  <c r="J815" i="2" s="1"/>
  <c r="J818" i="2" s="1"/>
  <c r="J821" i="2" s="1"/>
  <c r="J824" i="2" s="1"/>
  <c r="J838" i="2" s="1"/>
  <c r="J841" i="2" s="1"/>
  <c r="J844" i="2" s="1"/>
  <c r="J847" i="2" s="1"/>
  <c r="J850" i="2" s="1"/>
  <c r="J853" i="2" s="1"/>
  <c r="J856" i="2" s="1"/>
  <c r="J859" i="2" s="1"/>
  <c r="J862" i="2" s="1"/>
  <c r="J865" i="2" s="1"/>
  <c r="J868" i="2" s="1"/>
  <c r="J871" i="2" s="1"/>
  <c r="J885" i="2" s="1"/>
  <c r="J888" i="2" s="1"/>
  <c r="J891" i="2" s="1"/>
  <c r="J894" i="2" s="1"/>
  <c r="J897" i="2" s="1"/>
  <c r="J900" i="2" s="1"/>
  <c r="J903" i="2" s="1"/>
  <c r="J906" i="2" s="1"/>
  <c r="J909" i="2" s="1"/>
  <c r="J912" i="2" s="1"/>
  <c r="J915" i="2" s="1"/>
  <c r="J918" i="2" s="1"/>
  <c r="J932" i="2" s="1"/>
  <c r="J935" i="2" s="1"/>
  <c r="J938" i="2" s="1"/>
  <c r="J941" i="2" s="1"/>
  <c r="J944" i="2" s="1"/>
  <c r="J947" i="2" s="1"/>
  <c r="J950" i="2" s="1"/>
  <c r="J953" i="2" s="1"/>
  <c r="J956" i="2" s="1"/>
  <c r="J959" i="2" s="1"/>
  <c r="J962" i="2" s="1"/>
  <c r="J965" i="2" s="1"/>
  <c r="J979" i="2" s="1"/>
  <c r="J982" i="2" s="1"/>
  <c r="J985" i="2" s="1"/>
  <c r="J988" i="2" s="1"/>
  <c r="J991" i="2" s="1"/>
  <c r="J994" i="2" s="1"/>
  <c r="J997" i="2" s="1"/>
  <c r="J1000" i="2" s="1"/>
  <c r="J1003" i="2" s="1"/>
  <c r="J1006" i="2" s="1"/>
  <c r="J1009" i="2" s="1"/>
  <c r="J1012" i="2" s="1"/>
  <c r="J1028" i="2" s="1"/>
  <c r="J1031" i="2" s="1"/>
  <c r="J1034" i="2" s="1"/>
  <c r="J1037" i="2" s="1"/>
  <c r="J1040" i="2" s="1"/>
  <c r="J1043" i="2" s="1"/>
  <c r="J1046" i="2" s="1"/>
  <c r="J1049" i="2" s="1"/>
  <c r="J1052" i="2" s="1"/>
  <c r="J1055" i="2" s="1"/>
  <c r="J1058" i="2" s="1"/>
  <c r="J1061" i="2" s="1"/>
  <c r="J1077" i="2" s="1"/>
  <c r="J1080" i="2" s="1"/>
  <c r="J1083" i="2" s="1"/>
  <c r="J1086" i="2" s="1"/>
  <c r="J1089" i="2" s="1"/>
  <c r="J1092" i="2" s="1"/>
  <c r="J1095" i="2" s="1"/>
  <c r="J1098" i="2" s="1"/>
  <c r="J1101" i="2" s="1"/>
  <c r="J1104" i="2" s="1"/>
  <c r="J1107" i="2" s="1"/>
  <c r="J1110" i="2" s="1"/>
  <c r="J1126" i="2" s="1"/>
  <c r="J1129" i="2" s="1"/>
  <c r="J1132" i="2" s="1"/>
  <c r="J1135" i="2" s="1"/>
  <c r="J1138" i="2" s="1"/>
  <c r="J1141" i="2" s="1"/>
  <c r="J1144" i="2" s="1"/>
  <c r="J1147" i="2" s="1"/>
  <c r="J1150" i="2" s="1"/>
  <c r="J1153" i="2" s="1"/>
  <c r="J1156" i="2" s="1"/>
  <c r="J1159" i="2" s="1"/>
  <c r="G532" i="2"/>
  <c r="R532" i="2"/>
  <c r="G535" i="2"/>
  <c r="R535" i="2"/>
  <c r="W535" i="2" s="1"/>
  <c r="G538" i="2"/>
  <c r="R538" i="2"/>
  <c r="W538" i="2" s="1"/>
  <c r="G541" i="2"/>
  <c r="R541" i="2"/>
  <c r="W541" i="2" s="1"/>
  <c r="G555" i="2"/>
  <c r="R555" i="2"/>
  <c r="W555" i="2" s="1"/>
  <c r="G558" i="2"/>
  <c r="R558" i="2"/>
  <c r="W558" i="2" s="1"/>
  <c r="Q559" i="2"/>
  <c r="Q562" i="2" s="1"/>
  <c r="Q565" i="2" s="1"/>
  <c r="Q568" i="2" s="1"/>
  <c r="Q571" i="2" s="1"/>
  <c r="Q574" i="2" s="1"/>
  <c r="Q577" i="2" s="1"/>
  <c r="Q580" i="2" s="1"/>
  <c r="Q583" i="2" s="1"/>
  <c r="Q586" i="2" s="1"/>
  <c r="Q589" i="2" s="1"/>
  <c r="Q603" i="2" s="1"/>
  <c r="Q606" i="2" s="1"/>
  <c r="Q609" i="2" s="1"/>
  <c r="Q612" i="2" s="1"/>
  <c r="Q615" i="2" s="1"/>
  <c r="Q618" i="2" s="1"/>
  <c r="Q621" i="2" s="1"/>
  <c r="Q624" i="2" s="1"/>
  <c r="Q627" i="2" s="1"/>
  <c r="Q630" i="2" s="1"/>
  <c r="Q633" i="2" s="1"/>
  <c r="Q636" i="2" s="1"/>
  <c r="Q650" i="2" s="1"/>
  <c r="Q653" i="2" s="1"/>
  <c r="Q656" i="2" s="1"/>
  <c r="Q659" i="2" s="1"/>
  <c r="Q662" i="2" s="1"/>
  <c r="Q665" i="2" s="1"/>
  <c r="Q668" i="2" s="1"/>
  <c r="Q671" i="2" s="1"/>
  <c r="Q674" i="2" s="1"/>
  <c r="Q677" i="2" s="1"/>
  <c r="Q680" i="2" s="1"/>
  <c r="Q683" i="2" s="1"/>
  <c r="Q697" i="2" s="1"/>
  <c r="Q700" i="2" s="1"/>
  <c r="Q703" i="2" s="1"/>
  <c r="Q706" i="2" s="1"/>
  <c r="Q709" i="2" s="1"/>
  <c r="Q712" i="2" s="1"/>
  <c r="Q715" i="2" s="1"/>
  <c r="Q718" i="2" s="1"/>
  <c r="Q721" i="2" s="1"/>
  <c r="Q724" i="2" s="1"/>
  <c r="Q727" i="2" s="1"/>
  <c r="Q730" i="2" s="1"/>
  <c r="Q744" i="2" s="1"/>
  <c r="Q747" i="2" s="1"/>
  <c r="Q750" i="2" s="1"/>
  <c r="Q753" i="2" s="1"/>
  <c r="Q756" i="2" s="1"/>
  <c r="Q759" i="2" s="1"/>
  <c r="Q762" i="2" s="1"/>
  <c r="Q765" i="2" s="1"/>
  <c r="Q768" i="2" s="1"/>
  <c r="Q771" i="2" s="1"/>
  <c r="Q774" i="2" s="1"/>
  <c r="Q777" i="2" s="1"/>
  <c r="Q791" i="2" s="1"/>
  <c r="Q794" i="2" s="1"/>
  <c r="Q797" i="2" s="1"/>
  <c r="Q800" i="2" s="1"/>
  <c r="Q803" i="2" s="1"/>
  <c r="Q806" i="2" s="1"/>
  <c r="Q809" i="2" s="1"/>
  <c r="Q812" i="2" s="1"/>
  <c r="Q815" i="2" s="1"/>
  <c r="Q818" i="2" s="1"/>
  <c r="Q821" i="2" s="1"/>
  <c r="Q824" i="2" s="1"/>
  <c r="Q838" i="2" s="1"/>
  <c r="Q841" i="2" s="1"/>
  <c r="Q844" i="2" s="1"/>
  <c r="Q847" i="2" s="1"/>
  <c r="Q850" i="2" s="1"/>
  <c r="Q853" i="2" s="1"/>
  <c r="Q856" i="2" s="1"/>
  <c r="Q859" i="2" s="1"/>
  <c r="Q862" i="2" s="1"/>
  <c r="Q865" i="2" s="1"/>
  <c r="Q868" i="2" s="1"/>
  <c r="Q871" i="2" s="1"/>
  <c r="Q885" i="2" s="1"/>
  <c r="Q888" i="2" s="1"/>
  <c r="Q891" i="2" s="1"/>
  <c r="Q894" i="2" s="1"/>
  <c r="Q897" i="2" s="1"/>
  <c r="Q900" i="2" s="1"/>
  <c r="Q903" i="2" s="1"/>
  <c r="Q906" i="2" s="1"/>
  <c r="Q909" i="2" s="1"/>
  <c r="Q912" i="2" s="1"/>
  <c r="Q915" i="2" s="1"/>
  <c r="Q918" i="2" s="1"/>
  <c r="Q932" i="2" s="1"/>
  <c r="Q935" i="2" s="1"/>
  <c r="Q938" i="2" s="1"/>
  <c r="Q941" i="2" s="1"/>
  <c r="Q944" i="2" s="1"/>
  <c r="Q947" i="2" s="1"/>
  <c r="Q950" i="2" s="1"/>
  <c r="Q953" i="2" s="1"/>
  <c r="Q956" i="2" s="1"/>
  <c r="Q959" i="2" s="1"/>
  <c r="Q962" i="2" s="1"/>
  <c r="Q965" i="2" s="1"/>
  <c r="Q979" i="2" s="1"/>
  <c r="Q982" i="2" s="1"/>
  <c r="Q985" i="2" s="1"/>
  <c r="Q988" i="2" s="1"/>
  <c r="Q991" i="2" s="1"/>
  <c r="Q994" i="2" s="1"/>
  <c r="Q997" i="2" s="1"/>
  <c r="Q1000" i="2" s="1"/>
  <c r="Q1003" i="2" s="1"/>
  <c r="Q1006" i="2" s="1"/>
  <c r="Q1009" i="2" s="1"/>
  <c r="Q1012" i="2" s="1"/>
  <c r="Q1028" i="2" s="1"/>
  <c r="Q1031" i="2" s="1"/>
  <c r="Q1034" i="2" s="1"/>
  <c r="Q1037" i="2" s="1"/>
  <c r="Q1040" i="2" s="1"/>
  <c r="Q1043" i="2" s="1"/>
  <c r="Q1046" i="2" s="1"/>
  <c r="Q1049" i="2" s="1"/>
  <c r="Q1052" i="2" s="1"/>
  <c r="Q1055" i="2" s="1"/>
  <c r="Q1058" i="2" s="1"/>
  <c r="Q1061" i="2" s="1"/>
  <c r="Q1077" i="2" s="1"/>
  <c r="Q1080" i="2" s="1"/>
  <c r="Q1083" i="2" s="1"/>
  <c r="Q1086" i="2" s="1"/>
  <c r="Q1089" i="2" s="1"/>
  <c r="Q1092" i="2" s="1"/>
  <c r="Q1095" i="2" s="1"/>
  <c r="Q1098" i="2" s="1"/>
  <c r="Q1101" i="2" s="1"/>
  <c r="Q1104" i="2" s="1"/>
  <c r="Q1107" i="2" s="1"/>
  <c r="Q1110" i="2" s="1"/>
  <c r="Q1126" i="2" s="1"/>
  <c r="Q1129" i="2" s="1"/>
  <c r="Q1132" i="2" s="1"/>
  <c r="Q1135" i="2" s="1"/>
  <c r="Q1138" i="2" s="1"/>
  <c r="Q1141" i="2" s="1"/>
  <c r="Q1144" i="2" s="1"/>
  <c r="Q1147" i="2" s="1"/>
  <c r="Q1150" i="2" s="1"/>
  <c r="Q1153" i="2" s="1"/>
  <c r="Q1156" i="2" s="1"/>
  <c r="Q1159" i="2" s="1"/>
  <c r="Q1175" i="2" s="1"/>
  <c r="Q1178" i="2" s="1"/>
  <c r="Q1181" i="2" s="1"/>
  <c r="Q1184" i="2" s="1"/>
  <c r="Q1187" i="2" s="1"/>
  <c r="Q1190" i="2" s="1"/>
  <c r="Q1193" i="2" s="1"/>
  <c r="Q1196" i="2" s="1"/>
  <c r="Q1199" i="2" s="1"/>
  <c r="Q1202" i="2" s="1"/>
  <c r="Q1205" i="2" s="1"/>
  <c r="Q1208" i="2" s="1"/>
  <c r="G561" i="2"/>
  <c r="R561" i="2"/>
  <c r="G564" i="2"/>
  <c r="R564" i="2"/>
  <c r="W564" i="2" s="1"/>
  <c r="B565" i="2"/>
  <c r="G567" i="2"/>
  <c r="R567" i="2"/>
  <c r="W567" i="2" s="1"/>
  <c r="B568" i="2"/>
  <c r="B571" i="2" s="1"/>
  <c r="B574" i="2" s="1"/>
  <c r="B577" i="2" s="1"/>
  <c r="B580" i="2" s="1"/>
  <c r="B583" i="2" s="1"/>
  <c r="B586" i="2" s="1"/>
  <c r="B589" i="2" s="1"/>
  <c r="B603" i="2" s="1"/>
  <c r="B606" i="2" s="1"/>
  <c r="B609" i="2" s="1"/>
  <c r="B612" i="2" s="1"/>
  <c r="B615" i="2" s="1"/>
  <c r="B618" i="2" s="1"/>
  <c r="B621" i="2" s="1"/>
  <c r="B624" i="2" s="1"/>
  <c r="B627" i="2" s="1"/>
  <c r="B630" i="2" s="1"/>
  <c r="B633" i="2" s="1"/>
  <c r="B636" i="2" s="1"/>
  <c r="B650" i="2" s="1"/>
  <c r="B653" i="2" s="1"/>
  <c r="B656" i="2" s="1"/>
  <c r="B659" i="2" s="1"/>
  <c r="B662" i="2" s="1"/>
  <c r="B665" i="2" s="1"/>
  <c r="B668" i="2" s="1"/>
  <c r="B671" i="2" s="1"/>
  <c r="B674" i="2" s="1"/>
  <c r="B677" i="2" s="1"/>
  <c r="B680" i="2" s="1"/>
  <c r="B683" i="2" s="1"/>
  <c r="B697" i="2" s="1"/>
  <c r="B700" i="2" s="1"/>
  <c r="B703" i="2" s="1"/>
  <c r="B706" i="2" s="1"/>
  <c r="B709" i="2" s="1"/>
  <c r="B712" i="2" s="1"/>
  <c r="B715" i="2" s="1"/>
  <c r="B718" i="2" s="1"/>
  <c r="B721" i="2" s="1"/>
  <c r="B724" i="2" s="1"/>
  <c r="B727" i="2" s="1"/>
  <c r="B730" i="2" s="1"/>
  <c r="B744" i="2" s="1"/>
  <c r="B747" i="2" s="1"/>
  <c r="B750" i="2" s="1"/>
  <c r="B753" i="2" s="1"/>
  <c r="B756" i="2" s="1"/>
  <c r="B759" i="2" s="1"/>
  <c r="B762" i="2" s="1"/>
  <c r="B765" i="2" s="1"/>
  <c r="B768" i="2" s="1"/>
  <c r="B771" i="2" s="1"/>
  <c r="B774" i="2" s="1"/>
  <c r="B777" i="2" s="1"/>
  <c r="B791" i="2" s="1"/>
  <c r="B794" i="2" s="1"/>
  <c r="B797" i="2" s="1"/>
  <c r="B800" i="2" s="1"/>
  <c r="B803" i="2" s="1"/>
  <c r="B806" i="2" s="1"/>
  <c r="B809" i="2" s="1"/>
  <c r="B812" i="2" s="1"/>
  <c r="B815" i="2" s="1"/>
  <c r="B818" i="2" s="1"/>
  <c r="B821" i="2" s="1"/>
  <c r="B824" i="2" s="1"/>
  <c r="B838" i="2" s="1"/>
  <c r="B841" i="2" s="1"/>
  <c r="B844" i="2" s="1"/>
  <c r="B847" i="2" s="1"/>
  <c r="B850" i="2" s="1"/>
  <c r="B853" i="2" s="1"/>
  <c r="B856" i="2" s="1"/>
  <c r="B859" i="2" s="1"/>
  <c r="B862" i="2" s="1"/>
  <c r="B865" i="2" s="1"/>
  <c r="B868" i="2" s="1"/>
  <c r="B871" i="2" s="1"/>
  <c r="B885" i="2" s="1"/>
  <c r="B888" i="2" s="1"/>
  <c r="B891" i="2" s="1"/>
  <c r="B894" i="2" s="1"/>
  <c r="B897" i="2" s="1"/>
  <c r="B900" i="2" s="1"/>
  <c r="B903" i="2" s="1"/>
  <c r="B906" i="2" s="1"/>
  <c r="B909" i="2" s="1"/>
  <c r="B912" i="2" s="1"/>
  <c r="B915" i="2" s="1"/>
  <c r="B918" i="2" s="1"/>
  <c r="B932" i="2" s="1"/>
  <c r="B935" i="2" s="1"/>
  <c r="B938" i="2" s="1"/>
  <c r="B941" i="2" s="1"/>
  <c r="B944" i="2" s="1"/>
  <c r="B947" i="2" s="1"/>
  <c r="B950" i="2" s="1"/>
  <c r="B953" i="2" s="1"/>
  <c r="B956" i="2" s="1"/>
  <c r="B959" i="2" s="1"/>
  <c r="B962" i="2" s="1"/>
  <c r="B965" i="2" s="1"/>
  <c r="B979" i="2" s="1"/>
  <c r="B982" i="2" s="1"/>
  <c r="B985" i="2" s="1"/>
  <c r="B988" i="2" s="1"/>
  <c r="B991" i="2" s="1"/>
  <c r="B994" i="2" s="1"/>
  <c r="B997" i="2" s="1"/>
  <c r="B1000" i="2" s="1"/>
  <c r="B1003" i="2" s="1"/>
  <c r="B1006" i="2" s="1"/>
  <c r="B1009" i="2" s="1"/>
  <c r="B1012" i="2" s="1"/>
  <c r="B1028" i="2" s="1"/>
  <c r="B1031" i="2" s="1"/>
  <c r="B1034" i="2" s="1"/>
  <c r="B1037" i="2" s="1"/>
  <c r="B1040" i="2" s="1"/>
  <c r="B1043" i="2" s="1"/>
  <c r="B1046" i="2" s="1"/>
  <c r="B1049" i="2" s="1"/>
  <c r="B1052" i="2" s="1"/>
  <c r="B1055" i="2" s="1"/>
  <c r="B1058" i="2" s="1"/>
  <c r="B1061" i="2" s="1"/>
  <c r="B1077" i="2" s="1"/>
  <c r="B1080" i="2" s="1"/>
  <c r="B1083" i="2" s="1"/>
  <c r="B1086" i="2" s="1"/>
  <c r="B1089" i="2" s="1"/>
  <c r="B1092" i="2" s="1"/>
  <c r="B1095" i="2" s="1"/>
  <c r="B1098" i="2" s="1"/>
  <c r="B1101" i="2" s="1"/>
  <c r="B1104" i="2" s="1"/>
  <c r="B1107" i="2" s="1"/>
  <c r="B1110" i="2" s="1"/>
  <c r="B1126" i="2" s="1"/>
  <c r="B1129" i="2" s="1"/>
  <c r="B1132" i="2" s="1"/>
  <c r="B1135" i="2" s="1"/>
  <c r="B1138" i="2" s="1"/>
  <c r="B1141" i="2" s="1"/>
  <c r="B1144" i="2" s="1"/>
  <c r="B1147" i="2" s="1"/>
  <c r="B1150" i="2" s="1"/>
  <c r="B1153" i="2" s="1"/>
  <c r="B1156" i="2" s="1"/>
  <c r="B1159" i="2" s="1"/>
  <c r="B1175" i="2" s="1"/>
  <c r="B1178" i="2" s="1"/>
  <c r="B1181" i="2" s="1"/>
  <c r="B1184" i="2" s="1"/>
  <c r="B1187" i="2" s="1"/>
  <c r="B1190" i="2" s="1"/>
  <c r="B1193" i="2" s="1"/>
  <c r="B1196" i="2" s="1"/>
  <c r="B1199" i="2" s="1"/>
  <c r="B1202" i="2" s="1"/>
  <c r="B1205" i="2" s="1"/>
  <c r="B1208" i="2" s="1"/>
  <c r="G570" i="2"/>
  <c r="R570" i="2"/>
  <c r="G573" i="2"/>
  <c r="R573" i="2"/>
  <c r="G576" i="2"/>
  <c r="R576" i="2"/>
  <c r="W576" i="2" s="1"/>
  <c r="G579" i="2"/>
  <c r="R579" i="2"/>
  <c r="W579" i="2" s="1"/>
  <c r="G582" i="2"/>
  <c r="R582" i="2"/>
  <c r="W582" i="2" s="1"/>
  <c r="G585" i="2"/>
  <c r="R585" i="2"/>
  <c r="G588" i="2"/>
  <c r="R588" i="2"/>
  <c r="W588" i="2" s="1"/>
  <c r="G602" i="2"/>
  <c r="R602" i="2"/>
  <c r="W602" i="2" s="1"/>
  <c r="G605" i="2"/>
  <c r="R605" i="2"/>
  <c r="G608" i="2"/>
  <c r="R608" i="2"/>
  <c r="G611" i="2"/>
  <c r="R611" i="2"/>
  <c r="W611" i="2" s="1"/>
  <c r="G614" i="2"/>
  <c r="R614" i="2"/>
  <c r="W614" i="2" s="1"/>
  <c r="T615" i="2"/>
  <c r="T618" i="2" s="1"/>
  <c r="T621" i="2" s="1"/>
  <c r="T624" i="2" s="1"/>
  <c r="T627" i="2" s="1"/>
  <c r="T630" i="2" s="1"/>
  <c r="T633" i="2" s="1"/>
  <c r="T636" i="2" s="1"/>
  <c r="T650" i="2" s="1"/>
  <c r="T653" i="2" s="1"/>
  <c r="T656" i="2" s="1"/>
  <c r="T659" i="2" s="1"/>
  <c r="T662" i="2" s="1"/>
  <c r="T665" i="2" s="1"/>
  <c r="T668" i="2" s="1"/>
  <c r="T671" i="2" s="1"/>
  <c r="T674" i="2" s="1"/>
  <c r="T677" i="2" s="1"/>
  <c r="T680" i="2" s="1"/>
  <c r="T683" i="2" s="1"/>
  <c r="T697" i="2" s="1"/>
  <c r="T700" i="2" s="1"/>
  <c r="T703" i="2" s="1"/>
  <c r="T706" i="2" s="1"/>
  <c r="T709" i="2" s="1"/>
  <c r="T712" i="2" s="1"/>
  <c r="T715" i="2" s="1"/>
  <c r="T718" i="2" s="1"/>
  <c r="T721" i="2" s="1"/>
  <c r="T724" i="2" s="1"/>
  <c r="T727" i="2" s="1"/>
  <c r="T730" i="2" s="1"/>
  <c r="T744" i="2" s="1"/>
  <c r="T747" i="2" s="1"/>
  <c r="T750" i="2" s="1"/>
  <c r="T753" i="2" s="1"/>
  <c r="T756" i="2" s="1"/>
  <c r="T759" i="2" s="1"/>
  <c r="T762" i="2" s="1"/>
  <c r="T765" i="2" s="1"/>
  <c r="T768" i="2" s="1"/>
  <c r="T771" i="2" s="1"/>
  <c r="T774" i="2" s="1"/>
  <c r="T777" i="2" s="1"/>
  <c r="T791" i="2" s="1"/>
  <c r="T794" i="2" s="1"/>
  <c r="T797" i="2" s="1"/>
  <c r="T800" i="2" s="1"/>
  <c r="T803" i="2" s="1"/>
  <c r="T806" i="2" s="1"/>
  <c r="T809" i="2" s="1"/>
  <c r="T812" i="2" s="1"/>
  <c r="T815" i="2" s="1"/>
  <c r="T818" i="2" s="1"/>
  <c r="T821" i="2" s="1"/>
  <c r="T824" i="2" s="1"/>
  <c r="T838" i="2" s="1"/>
  <c r="T841" i="2" s="1"/>
  <c r="T844" i="2" s="1"/>
  <c r="T847" i="2" s="1"/>
  <c r="T850" i="2" s="1"/>
  <c r="T853" i="2" s="1"/>
  <c r="T856" i="2" s="1"/>
  <c r="T859" i="2" s="1"/>
  <c r="T862" i="2" s="1"/>
  <c r="T865" i="2" s="1"/>
  <c r="T868" i="2" s="1"/>
  <c r="T871" i="2" s="1"/>
  <c r="T885" i="2" s="1"/>
  <c r="T888" i="2" s="1"/>
  <c r="T891" i="2" s="1"/>
  <c r="T894" i="2" s="1"/>
  <c r="T897" i="2" s="1"/>
  <c r="T900" i="2" s="1"/>
  <c r="T903" i="2" s="1"/>
  <c r="T906" i="2" s="1"/>
  <c r="T909" i="2" s="1"/>
  <c r="T912" i="2" s="1"/>
  <c r="T915" i="2" s="1"/>
  <c r="T918" i="2" s="1"/>
  <c r="T932" i="2" s="1"/>
  <c r="T935" i="2" s="1"/>
  <c r="T938" i="2" s="1"/>
  <c r="T941" i="2" s="1"/>
  <c r="T944" i="2" s="1"/>
  <c r="T947" i="2" s="1"/>
  <c r="T950" i="2" s="1"/>
  <c r="T953" i="2" s="1"/>
  <c r="T956" i="2" s="1"/>
  <c r="T959" i="2" s="1"/>
  <c r="G617" i="2"/>
  <c r="W617" i="2" s="1"/>
  <c r="R617" i="2"/>
  <c r="G620" i="2"/>
  <c r="R620" i="2"/>
  <c r="W620" i="2" s="1"/>
  <c r="G623" i="2"/>
  <c r="W623" i="2" s="1"/>
  <c r="R623" i="2"/>
  <c r="G626" i="2"/>
  <c r="R626" i="2"/>
  <c r="G629" i="2"/>
  <c r="R629" i="2"/>
  <c r="W629" i="2"/>
  <c r="G632" i="2"/>
  <c r="R632" i="2"/>
  <c r="G635" i="2"/>
  <c r="R635" i="2"/>
  <c r="W635" i="2" s="1"/>
  <c r="G649" i="2"/>
  <c r="R649" i="2"/>
  <c r="W649" i="2" s="1"/>
  <c r="G652" i="2"/>
  <c r="R652" i="2"/>
  <c r="W652" i="2" s="1"/>
  <c r="G655" i="2"/>
  <c r="R655" i="2"/>
  <c r="G658" i="2"/>
  <c r="R658" i="2"/>
  <c r="W658" i="2"/>
  <c r="U659" i="2"/>
  <c r="G661" i="2"/>
  <c r="R661" i="2"/>
  <c r="W661" i="2"/>
  <c r="U662" i="2"/>
  <c r="U665" i="2" s="1"/>
  <c r="G664" i="2"/>
  <c r="R664" i="2"/>
  <c r="W664" i="2"/>
  <c r="G667" i="2"/>
  <c r="R667" i="2"/>
  <c r="W667" i="2"/>
  <c r="U668" i="2"/>
  <c r="U671" i="2" s="1"/>
  <c r="U674" i="2" s="1"/>
  <c r="U677" i="2" s="1"/>
  <c r="U680" i="2" s="1"/>
  <c r="U683" i="2" s="1"/>
  <c r="U697" i="2" s="1"/>
  <c r="U700" i="2" s="1"/>
  <c r="U703" i="2" s="1"/>
  <c r="U706" i="2" s="1"/>
  <c r="U709" i="2" s="1"/>
  <c r="U712" i="2" s="1"/>
  <c r="U715" i="2" s="1"/>
  <c r="U718" i="2" s="1"/>
  <c r="U721" i="2" s="1"/>
  <c r="U724" i="2" s="1"/>
  <c r="U727" i="2" s="1"/>
  <c r="U730" i="2" s="1"/>
  <c r="U744" i="2" s="1"/>
  <c r="U747" i="2" s="1"/>
  <c r="U750" i="2" s="1"/>
  <c r="U753" i="2" s="1"/>
  <c r="U756" i="2" s="1"/>
  <c r="U759" i="2" s="1"/>
  <c r="U762" i="2" s="1"/>
  <c r="U765" i="2" s="1"/>
  <c r="U768" i="2" s="1"/>
  <c r="U771" i="2" s="1"/>
  <c r="U774" i="2" s="1"/>
  <c r="U777" i="2" s="1"/>
  <c r="U791" i="2" s="1"/>
  <c r="U794" i="2" s="1"/>
  <c r="U797" i="2" s="1"/>
  <c r="U800" i="2" s="1"/>
  <c r="U803" i="2" s="1"/>
  <c r="U806" i="2" s="1"/>
  <c r="U809" i="2" s="1"/>
  <c r="U812" i="2" s="1"/>
  <c r="U815" i="2" s="1"/>
  <c r="U818" i="2" s="1"/>
  <c r="U821" i="2" s="1"/>
  <c r="U824" i="2" s="1"/>
  <c r="G670" i="2"/>
  <c r="R670" i="2"/>
  <c r="W670" i="2"/>
  <c r="G673" i="2"/>
  <c r="W673" i="2" s="1"/>
  <c r="R673" i="2"/>
  <c r="G676" i="2"/>
  <c r="R676" i="2"/>
  <c r="W676" i="2"/>
  <c r="G679" i="2"/>
  <c r="W679" i="2" s="1"/>
  <c r="R679" i="2"/>
  <c r="D682" i="2"/>
  <c r="G682" i="2"/>
  <c r="R682" i="2"/>
  <c r="W682" i="2"/>
  <c r="G696" i="2"/>
  <c r="R696" i="2"/>
  <c r="W696" i="2" s="1"/>
  <c r="V697" i="2"/>
  <c r="V700" i="2" s="1"/>
  <c r="V703" i="2" s="1"/>
  <c r="V706" i="2" s="1"/>
  <c r="V709" i="2" s="1"/>
  <c r="V712" i="2" s="1"/>
  <c r="V715" i="2" s="1"/>
  <c r="V718" i="2" s="1"/>
  <c r="V721" i="2" s="1"/>
  <c r="V724" i="2" s="1"/>
  <c r="V727" i="2" s="1"/>
  <c r="V730" i="2" s="1"/>
  <c r="V744" i="2" s="1"/>
  <c r="V747" i="2" s="1"/>
  <c r="V750" i="2" s="1"/>
  <c r="V753" i="2" s="1"/>
  <c r="V756" i="2" s="1"/>
  <c r="V759" i="2" s="1"/>
  <c r="V762" i="2" s="1"/>
  <c r="V765" i="2" s="1"/>
  <c r="V768" i="2" s="1"/>
  <c r="V771" i="2" s="1"/>
  <c r="V774" i="2" s="1"/>
  <c r="V777" i="2" s="1"/>
  <c r="V791" i="2" s="1"/>
  <c r="V794" i="2" s="1"/>
  <c r="V797" i="2" s="1"/>
  <c r="V800" i="2" s="1"/>
  <c r="V803" i="2" s="1"/>
  <c r="V806" i="2" s="1"/>
  <c r="V809" i="2" s="1"/>
  <c r="V812" i="2" s="1"/>
  <c r="V815" i="2" s="1"/>
  <c r="V818" i="2" s="1"/>
  <c r="V821" i="2" s="1"/>
  <c r="V824" i="2" s="1"/>
  <c r="V838" i="2" s="1"/>
  <c r="V841" i="2" s="1"/>
  <c r="V844" i="2" s="1"/>
  <c r="V847" i="2" s="1"/>
  <c r="V850" i="2" s="1"/>
  <c r="V853" i="2" s="1"/>
  <c r="V856" i="2" s="1"/>
  <c r="V859" i="2" s="1"/>
  <c r="V862" i="2" s="1"/>
  <c r="V865" i="2" s="1"/>
  <c r="V868" i="2" s="1"/>
  <c r="V871" i="2" s="1"/>
  <c r="V885" i="2" s="1"/>
  <c r="V888" i="2" s="1"/>
  <c r="V891" i="2" s="1"/>
  <c r="V894" i="2" s="1"/>
  <c r="V897" i="2" s="1"/>
  <c r="V900" i="2" s="1"/>
  <c r="V903" i="2" s="1"/>
  <c r="V906" i="2" s="1"/>
  <c r="V909" i="2" s="1"/>
  <c r="V912" i="2" s="1"/>
  <c r="V915" i="2" s="1"/>
  <c r="V918" i="2" s="1"/>
  <c r="V932" i="2" s="1"/>
  <c r="V935" i="2" s="1"/>
  <c r="V938" i="2" s="1"/>
  <c r="V941" i="2" s="1"/>
  <c r="V944" i="2" s="1"/>
  <c r="V947" i="2" s="1"/>
  <c r="V950" i="2" s="1"/>
  <c r="V953" i="2" s="1"/>
  <c r="V956" i="2" s="1"/>
  <c r="V959" i="2" s="1"/>
  <c r="V962" i="2" s="1"/>
  <c r="V965" i="2" s="1"/>
  <c r="V979" i="2" s="1"/>
  <c r="V982" i="2" s="1"/>
  <c r="V985" i="2" s="1"/>
  <c r="V988" i="2" s="1"/>
  <c r="V991" i="2" s="1"/>
  <c r="V994" i="2" s="1"/>
  <c r="V997" i="2" s="1"/>
  <c r="V1000" i="2" s="1"/>
  <c r="V1003" i="2" s="1"/>
  <c r="V1006" i="2" s="1"/>
  <c r="V1009" i="2" s="1"/>
  <c r="V1012" i="2" s="1"/>
  <c r="V1028" i="2" s="1"/>
  <c r="V1031" i="2" s="1"/>
  <c r="V1034" i="2" s="1"/>
  <c r="V1037" i="2" s="1"/>
  <c r="V1040" i="2" s="1"/>
  <c r="V1043" i="2" s="1"/>
  <c r="V1046" i="2" s="1"/>
  <c r="V1049" i="2" s="1"/>
  <c r="V1052" i="2" s="1"/>
  <c r="V1055" i="2" s="1"/>
  <c r="V1058" i="2" s="1"/>
  <c r="V1061" i="2" s="1"/>
  <c r="V1077" i="2" s="1"/>
  <c r="V1080" i="2" s="1"/>
  <c r="V1083" i="2" s="1"/>
  <c r="V1086" i="2" s="1"/>
  <c r="V1089" i="2" s="1"/>
  <c r="V1092" i="2" s="1"/>
  <c r="V1095" i="2" s="1"/>
  <c r="V1098" i="2" s="1"/>
  <c r="V1101" i="2" s="1"/>
  <c r="V1104" i="2" s="1"/>
  <c r="V1107" i="2" s="1"/>
  <c r="V1110" i="2" s="1"/>
  <c r="V1126" i="2" s="1"/>
  <c r="V1129" i="2" s="1"/>
  <c r="V1132" i="2" s="1"/>
  <c r="V1135" i="2" s="1"/>
  <c r="V1138" i="2" s="1"/>
  <c r="V1141" i="2" s="1"/>
  <c r="V1144" i="2" s="1"/>
  <c r="V1147" i="2" s="1"/>
  <c r="V1150" i="2" s="1"/>
  <c r="V1153" i="2" s="1"/>
  <c r="V1156" i="2" s="1"/>
  <c r="V1159" i="2" s="1"/>
  <c r="V1175" i="2" s="1"/>
  <c r="V1178" i="2" s="1"/>
  <c r="V1181" i="2" s="1"/>
  <c r="V1184" i="2" s="1"/>
  <c r="V1187" i="2" s="1"/>
  <c r="V1190" i="2" s="1"/>
  <c r="V1193" i="2" s="1"/>
  <c r="V1196" i="2" s="1"/>
  <c r="V1199" i="2" s="1"/>
  <c r="V1202" i="2" s="1"/>
  <c r="V1205" i="2" s="1"/>
  <c r="V1208" i="2" s="1"/>
  <c r="G699" i="2"/>
  <c r="R699" i="2"/>
  <c r="W699" i="2"/>
  <c r="G702" i="2"/>
  <c r="M702" i="2"/>
  <c r="R702" i="2" s="1"/>
  <c r="W702" i="2" s="1"/>
  <c r="G705" i="2"/>
  <c r="M705" i="2"/>
  <c r="R705" i="2" s="1"/>
  <c r="W705" i="2" s="1"/>
  <c r="G708" i="2"/>
  <c r="R708" i="2"/>
  <c r="G711" i="2"/>
  <c r="R711" i="2"/>
  <c r="W711" i="2"/>
  <c r="G714" i="2"/>
  <c r="R714" i="2"/>
  <c r="G717" i="2"/>
  <c r="R717" i="2"/>
  <c r="W717" i="2" s="1"/>
  <c r="G720" i="2"/>
  <c r="R720" i="2"/>
  <c r="W720" i="2" s="1"/>
  <c r="G723" i="2"/>
  <c r="R723" i="2"/>
  <c r="V723" i="2"/>
  <c r="G726" i="2"/>
  <c r="R726" i="2"/>
  <c r="G729" i="2"/>
  <c r="R729" i="2"/>
  <c r="W729" i="2" s="1"/>
  <c r="G743" i="2"/>
  <c r="R743" i="2"/>
  <c r="W743" i="2" s="1"/>
  <c r="G746" i="2"/>
  <c r="R746" i="2"/>
  <c r="W746" i="2" s="1"/>
  <c r="G749" i="2"/>
  <c r="R749" i="2"/>
  <c r="W749" i="2"/>
  <c r="G752" i="2"/>
  <c r="R752" i="2"/>
  <c r="W752" i="2" s="1"/>
  <c r="G755" i="2"/>
  <c r="R755" i="2"/>
  <c r="W755" i="2"/>
  <c r="G758" i="2"/>
  <c r="R758" i="2"/>
  <c r="G761" i="2"/>
  <c r="R761" i="2"/>
  <c r="S761" i="2"/>
  <c r="G764" i="2"/>
  <c r="R764" i="2"/>
  <c r="S764" i="2"/>
  <c r="G767" i="2"/>
  <c r="R767" i="2"/>
  <c r="S767" i="2"/>
  <c r="G770" i="2"/>
  <c r="R770" i="2"/>
  <c r="S770" i="2"/>
  <c r="R34" i="17" s="1"/>
  <c r="R35" i="17" s="1"/>
  <c r="U770" i="2"/>
  <c r="G773" i="2"/>
  <c r="R773" i="2"/>
  <c r="G776" i="2"/>
  <c r="G40" i="17" s="1"/>
  <c r="R776" i="2"/>
  <c r="W776" i="2"/>
  <c r="D790" i="2"/>
  <c r="D697" i="1"/>
  <c r="E790" i="2"/>
  <c r="E697" i="1" s="1"/>
  <c r="F790" i="2"/>
  <c r="F697" i="1"/>
  <c r="R790" i="2"/>
  <c r="W790" i="2" s="1"/>
  <c r="U790" i="2"/>
  <c r="C793" i="2"/>
  <c r="C700" i="1"/>
  <c r="D793" i="2"/>
  <c r="E793" i="2"/>
  <c r="E700" i="1"/>
  <c r="F793" i="2"/>
  <c r="F700" i="1"/>
  <c r="R793" i="2"/>
  <c r="U793" i="2"/>
  <c r="G796" i="2"/>
  <c r="W796" i="2" s="1"/>
  <c r="R796" i="2"/>
  <c r="U796" i="2"/>
  <c r="G799" i="2"/>
  <c r="R799" i="2"/>
  <c r="W799" i="2" s="1"/>
  <c r="U799" i="2"/>
  <c r="G802" i="2"/>
  <c r="W802" i="2" s="1"/>
  <c r="R802" i="2"/>
  <c r="U802" i="2"/>
  <c r="G805" i="2"/>
  <c r="R805" i="2"/>
  <c r="W805" i="2" s="1"/>
  <c r="G808" i="2"/>
  <c r="R808" i="2"/>
  <c r="W808" i="2" s="1"/>
  <c r="U808" i="2"/>
  <c r="G811" i="2"/>
  <c r="R811" i="2"/>
  <c r="U811" i="2"/>
  <c r="G814" i="2"/>
  <c r="R814" i="2"/>
  <c r="W814" i="2" s="1"/>
  <c r="U814" i="2"/>
  <c r="G817" i="2"/>
  <c r="R817" i="2"/>
  <c r="W817" i="2" s="1"/>
  <c r="U817" i="2"/>
  <c r="G820" i="2"/>
  <c r="R820" i="2"/>
  <c r="W820" i="2" s="1"/>
  <c r="U820" i="2"/>
  <c r="G823" i="2"/>
  <c r="R823" i="2"/>
  <c r="U823" i="2"/>
  <c r="G837" i="2"/>
  <c r="W837" i="2" s="1"/>
  <c r="R837" i="2"/>
  <c r="S837" i="2"/>
  <c r="U837" i="2" s="1"/>
  <c r="G840" i="2"/>
  <c r="R840" i="2"/>
  <c r="U840" i="2"/>
  <c r="W840" i="2"/>
  <c r="G843" i="2"/>
  <c r="W843" i="2" s="1"/>
  <c r="R843" i="2"/>
  <c r="U843" i="2"/>
  <c r="G846" i="2"/>
  <c r="R846" i="2"/>
  <c r="W846" i="2" s="1"/>
  <c r="U846" i="2"/>
  <c r="G849" i="2"/>
  <c r="W849" i="2" s="1"/>
  <c r="R849" i="2"/>
  <c r="U849" i="2"/>
  <c r="G852" i="2"/>
  <c r="R852" i="2"/>
  <c r="W852" i="2" s="1"/>
  <c r="U852" i="2"/>
  <c r="G855" i="2"/>
  <c r="W855" i="2" s="1"/>
  <c r="R855" i="2"/>
  <c r="U855" i="2"/>
  <c r="G858" i="2"/>
  <c r="R858" i="2"/>
  <c r="U858" i="2"/>
  <c r="W858" i="2"/>
  <c r="G861" i="2"/>
  <c r="W861" i="2" s="1"/>
  <c r="R861" i="2"/>
  <c r="U861" i="2"/>
  <c r="G864" i="2"/>
  <c r="R864" i="2"/>
  <c r="U864" i="2"/>
  <c r="W864" i="2"/>
  <c r="G867" i="2"/>
  <c r="R867" i="2"/>
  <c r="S867" i="2"/>
  <c r="U867" i="2" s="1"/>
  <c r="G870" i="2"/>
  <c r="R870" i="2"/>
  <c r="W870" i="2" s="1"/>
  <c r="U870" i="2"/>
  <c r="G884" i="2"/>
  <c r="R884" i="2"/>
  <c r="W884" i="2" s="1"/>
  <c r="U884" i="2"/>
  <c r="G887" i="2"/>
  <c r="R887" i="2"/>
  <c r="U887" i="2"/>
  <c r="G890" i="2"/>
  <c r="R890" i="2"/>
  <c r="W890" i="2" s="1"/>
  <c r="U890" i="2"/>
  <c r="G893" i="2"/>
  <c r="R893" i="2"/>
  <c r="W893" i="2" s="1"/>
  <c r="U893" i="2"/>
  <c r="G896" i="2"/>
  <c r="R896" i="2"/>
  <c r="W896" i="2" s="1"/>
  <c r="U896" i="2"/>
  <c r="G899" i="2"/>
  <c r="R899" i="2"/>
  <c r="U899" i="2"/>
  <c r="G902" i="2"/>
  <c r="R902" i="2"/>
  <c r="U902" i="2"/>
  <c r="G905" i="2"/>
  <c r="R905" i="2"/>
  <c r="W905" i="2" s="1"/>
  <c r="U905" i="2"/>
  <c r="G908" i="2"/>
  <c r="R908" i="2"/>
  <c r="W908" i="2" s="1"/>
  <c r="U908" i="2"/>
  <c r="G911" i="2"/>
  <c r="R911" i="2"/>
  <c r="U911" i="2"/>
  <c r="G914" i="2"/>
  <c r="R914" i="2"/>
  <c r="W914" i="2" s="1"/>
  <c r="U914" i="2"/>
  <c r="G917" i="2"/>
  <c r="R917" i="2"/>
  <c r="W917" i="2" s="1"/>
  <c r="U917" i="2"/>
  <c r="G931" i="2"/>
  <c r="R931" i="2"/>
  <c r="W931" i="2" s="1"/>
  <c r="U931" i="2"/>
  <c r="G934" i="2"/>
  <c r="R934" i="2"/>
  <c r="U934" i="2"/>
  <c r="G937" i="2"/>
  <c r="R937" i="2"/>
  <c r="U937" i="2"/>
  <c r="G940" i="2"/>
  <c r="R940" i="2"/>
  <c r="W940" i="2" s="1"/>
  <c r="U940" i="2"/>
  <c r="G943" i="2"/>
  <c r="R943" i="2"/>
  <c r="W943" i="2" s="1"/>
  <c r="U943" i="2"/>
  <c r="G946" i="2"/>
  <c r="R946" i="2"/>
  <c r="U946" i="2"/>
  <c r="G949" i="2"/>
  <c r="R949" i="2"/>
  <c r="W949" i="2" s="1"/>
  <c r="U949" i="2"/>
  <c r="G952" i="2"/>
  <c r="R952" i="2"/>
  <c r="W952" i="2" s="1"/>
  <c r="U952" i="2"/>
  <c r="G955" i="2"/>
  <c r="R955" i="2"/>
  <c r="W955" i="2" s="1"/>
  <c r="U955" i="2"/>
  <c r="G958" i="2"/>
  <c r="R958" i="2"/>
  <c r="U958" i="2"/>
  <c r="G961" i="2"/>
  <c r="R961" i="2"/>
  <c r="T962" i="2"/>
  <c r="T965" i="2" s="1"/>
  <c r="T979" i="2" s="1"/>
  <c r="T982" i="2" s="1"/>
  <c r="T985" i="2" s="1"/>
  <c r="T988" i="2" s="1"/>
  <c r="T991" i="2" s="1"/>
  <c r="T994" i="2" s="1"/>
  <c r="T997" i="2" s="1"/>
  <c r="T1000" i="2" s="1"/>
  <c r="T1003" i="2" s="1"/>
  <c r="T1006" i="2" s="1"/>
  <c r="T1009" i="2" s="1"/>
  <c r="T1012" i="2" s="1"/>
  <c r="T1028" i="2" s="1"/>
  <c r="T1031" i="2" s="1"/>
  <c r="T1034" i="2" s="1"/>
  <c r="T1037" i="2" s="1"/>
  <c r="T1040" i="2" s="1"/>
  <c r="T1043" i="2" s="1"/>
  <c r="T1046" i="2" s="1"/>
  <c r="T1049" i="2" s="1"/>
  <c r="T1052" i="2" s="1"/>
  <c r="T1055" i="2" s="1"/>
  <c r="T1058" i="2" s="1"/>
  <c r="T1061" i="2" s="1"/>
  <c r="T1077" i="2" s="1"/>
  <c r="T1080" i="2" s="1"/>
  <c r="T1083" i="2" s="1"/>
  <c r="T1086" i="2" s="1"/>
  <c r="T1089" i="2" s="1"/>
  <c r="T1092" i="2" s="1"/>
  <c r="T1095" i="2" s="1"/>
  <c r="T1098" i="2" s="1"/>
  <c r="T1101" i="2" s="1"/>
  <c r="T1104" i="2" s="1"/>
  <c r="T1107" i="2" s="1"/>
  <c r="T1110" i="2" s="1"/>
  <c r="T1126" i="2" s="1"/>
  <c r="T1129" i="2" s="1"/>
  <c r="T1132" i="2" s="1"/>
  <c r="T1135" i="2" s="1"/>
  <c r="T1138" i="2" s="1"/>
  <c r="T1141" i="2" s="1"/>
  <c r="T1144" i="2" s="1"/>
  <c r="T1147" i="2" s="1"/>
  <c r="T1150" i="2" s="1"/>
  <c r="T1153" i="2" s="1"/>
  <c r="T1156" i="2" s="1"/>
  <c r="T1159" i="2" s="1"/>
  <c r="T1175" i="2" s="1"/>
  <c r="T1178" i="2" s="1"/>
  <c r="T1181" i="2" s="1"/>
  <c r="T1184" i="2" s="1"/>
  <c r="T1187" i="2" s="1"/>
  <c r="T1190" i="2" s="1"/>
  <c r="T1193" i="2" s="1"/>
  <c r="T1196" i="2" s="1"/>
  <c r="T1199" i="2" s="1"/>
  <c r="T1202" i="2" s="1"/>
  <c r="T1205" i="2" s="1"/>
  <c r="T1208" i="2" s="1"/>
  <c r="E964" i="2"/>
  <c r="G964" i="2"/>
  <c r="J964" i="2"/>
  <c r="R964" i="2" s="1"/>
  <c r="W964" i="2" s="1"/>
  <c r="M964" i="2"/>
  <c r="Q964" i="2"/>
  <c r="S964" i="2"/>
  <c r="G978" i="2"/>
  <c r="R978" i="2"/>
  <c r="W978" i="2" s="1"/>
  <c r="G981" i="2"/>
  <c r="R981" i="2"/>
  <c r="G984" i="2"/>
  <c r="R984" i="2"/>
  <c r="W984" i="2"/>
  <c r="G987" i="2"/>
  <c r="R987" i="2"/>
  <c r="W987" i="2" s="1"/>
  <c r="G990" i="2"/>
  <c r="W990" i="2" s="1"/>
  <c r="R990" i="2"/>
  <c r="U990" i="2"/>
  <c r="G993" i="2"/>
  <c r="R993" i="2"/>
  <c r="W993" i="2"/>
  <c r="T993" i="2"/>
  <c r="U993" i="2"/>
  <c r="G996" i="2"/>
  <c r="R996" i="2"/>
  <c r="S996" i="2"/>
  <c r="U996" i="2"/>
  <c r="G999" i="2"/>
  <c r="R999" i="2"/>
  <c r="U999" i="2"/>
  <c r="G1002" i="2"/>
  <c r="J1002" i="2"/>
  <c r="K1002" i="2"/>
  <c r="L1002" i="2"/>
  <c r="P1002" i="2"/>
  <c r="U1002" i="2"/>
  <c r="G1005" i="2"/>
  <c r="J1005" i="2"/>
  <c r="K1005" i="2"/>
  <c r="R1005" i="2" s="1"/>
  <c r="W1005" i="2" s="1"/>
  <c r="L1005" i="2"/>
  <c r="P1005" i="2"/>
  <c r="T1005" i="2"/>
  <c r="U1005" i="2"/>
  <c r="G1008" i="2"/>
  <c r="K1008" i="2"/>
  <c r="L1008" i="2"/>
  <c r="P1008" i="2"/>
  <c r="G1011" i="2"/>
  <c r="K1011" i="2"/>
  <c r="L1011" i="2"/>
  <c r="P1011" i="2"/>
  <c r="M1014" i="2"/>
  <c r="N1014" i="2"/>
  <c r="O1014" i="2"/>
  <c r="Q1014" i="2"/>
  <c r="G1027" i="2"/>
  <c r="K1027" i="2"/>
  <c r="L1027" i="2"/>
  <c r="P1027" i="2"/>
  <c r="G1030" i="2"/>
  <c r="K1030" i="2"/>
  <c r="L1030" i="2"/>
  <c r="P1030" i="2"/>
  <c r="G1033" i="2"/>
  <c r="K1033" i="2"/>
  <c r="L1033" i="2"/>
  <c r="P1033" i="2"/>
  <c r="G1036" i="2"/>
  <c r="K1036" i="2"/>
  <c r="L1036" i="2"/>
  <c r="P1036" i="2"/>
  <c r="G1039" i="2"/>
  <c r="K1039" i="2"/>
  <c r="L1039" i="2"/>
  <c r="P1039" i="2"/>
  <c r="U1039" i="2"/>
  <c r="G1042" i="2"/>
  <c r="K1042" i="2"/>
  <c r="L1042" i="2"/>
  <c r="P1042" i="2"/>
  <c r="U1042" i="2"/>
  <c r="G1045" i="2"/>
  <c r="J1045" i="2"/>
  <c r="K1045" i="2"/>
  <c r="L1045" i="2"/>
  <c r="P1045" i="2"/>
  <c r="U1045" i="2"/>
  <c r="G1048" i="2"/>
  <c r="J1048" i="2"/>
  <c r="K1048" i="2"/>
  <c r="L1048" i="2"/>
  <c r="P1048" i="2"/>
  <c r="U1048" i="2"/>
  <c r="G1051" i="2"/>
  <c r="J1051" i="2"/>
  <c r="K1051" i="2"/>
  <c r="L1051" i="2"/>
  <c r="P1051" i="2"/>
  <c r="U1051" i="2"/>
  <c r="G1054" i="2"/>
  <c r="J1054" i="2"/>
  <c r="K1054" i="2"/>
  <c r="L1054" i="2"/>
  <c r="P1054" i="2"/>
  <c r="Q1054" i="2"/>
  <c r="Q1114" i="2" s="1"/>
  <c r="U1054" i="2"/>
  <c r="G1057" i="2"/>
  <c r="K1057" i="2"/>
  <c r="L1057" i="2"/>
  <c r="P1057" i="2"/>
  <c r="U1057" i="2"/>
  <c r="G1060" i="2"/>
  <c r="R1060" i="2"/>
  <c r="W1060" i="2" s="1"/>
  <c r="G1076" i="2"/>
  <c r="R1076" i="2"/>
  <c r="W1076" i="2" s="1"/>
  <c r="U1076" i="2"/>
  <c r="G1079" i="2"/>
  <c r="R1079" i="2"/>
  <c r="W1079" i="2" s="1"/>
  <c r="U1079" i="2"/>
  <c r="G1082" i="2"/>
  <c r="R1082" i="2"/>
  <c r="W1082" i="2" s="1"/>
  <c r="G1085" i="2"/>
  <c r="R1085" i="2"/>
  <c r="W1085" i="2"/>
  <c r="G1088" i="2"/>
  <c r="R1088" i="2"/>
  <c r="G1091" i="2"/>
  <c r="R1091" i="2"/>
  <c r="W1091" i="2"/>
  <c r="G1094" i="2"/>
  <c r="R1094" i="2"/>
  <c r="G1097" i="2"/>
  <c r="R1097" i="2"/>
  <c r="G1100" i="2"/>
  <c r="R1100" i="2"/>
  <c r="G1103" i="2"/>
  <c r="R1103" i="2"/>
  <c r="W1103" i="2" s="1"/>
  <c r="Z1103" i="2" s="1"/>
  <c r="G1106" i="2"/>
  <c r="R1106" i="2"/>
  <c r="G1109" i="2"/>
  <c r="R1109" i="2"/>
  <c r="G25" i="17"/>
  <c r="G26" i="17" s="1"/>
  <c r="Q25" i="17"/>
  <c r="R25" i="17"/>
  <c r="W25" i="17"/>
  <c r="B26" i="17"/>
  <c r="B29" i="17" s="1"/>
  <c r="B32" i="17" s="1"/>
  <c r="C26" i="17"/>
  <c r="D26" i="17"/>
  <c r="D29" i="17" s="1"/>
  <c r="D32" i="17" s="1"/>
  <c r="E26" i="17"/>
  <c r="E29" i="17" s="1"/>
  <c r="F26" i="17"/>
  <c r="H26" i="17"/>
  <c r="I26" i="17"/>
  <c r="J26" i="17"/>
  <c r="J29" i="17" s="1"/>
  <c r="J32" i="17" s="1"/>
  <c r="K26" i="17"/>
  <c r="L26" i="17"/>
  <c r="L29" i="17" s="1"/>
  <c r="L32" i="17" s="1"/>
  <c r="M26" i="17"/>
  <c r="M29" i="17" s="1"/>
  <c r="M32" i="17" s="1"/>
  <c r="N26" i="17"/>
  <c r="O26" i="17"/>
  <c r="O29" i="17" s="1"/>
  <c r="P26" i="17"/>
  <c r="Q26" i="17"/>
  <c r="R26" i="17"/>
  <c r="R29" i="17" s="1"/>
  <c r="R32" i="17" s="1"/>
  <c r="S26" i="17"/>
  <c r="T26" i="17"/>
  <c r="T29" i="17" s="1"/>
  <c r="T32" i="17" s="1"/>
  <c r="U26" i="17"/>
  <c r="U29" i="17" s="1"/>
  <c r="U32" i="17" s="1"/>
  <c r="V26" i="17"/>
  <c r="W26" i="17"/>
  <c r="G28" i="17"/>
  <c r="Q28" i="17"/>
  <c r="R28" i="17"/>
  <c r="W28" i="17" s="1"/>
  <c r="W29" i="17" s="1"/>
  <c r="W32" i="17" s="1"/>
  <c r="C29" i="17"/>
  <c r="F29" i="17"/>
  <c r="F32" i="17" s="1"/>
  <c r="H29" i="17"/>
  <c r="I29" i="17"/>
  <c r="I32" i="17" s="1"/>
  <c r="K29" i="17"/>
  <c r="N29" i="17"/>
  <c r="N32" i="17" s="1"/>
  <c r="P29" i="17"/>
  <c r="P32" i="17" s="1"/>
  <c r="Q29" i="17"/>
  <c r="S29" i="17"/>
  <c r="V29" i="17"/>
  <c r="G31" i="17"/>
  <c r="Q31" i="17"/>
  <c r="R31" i="17"/>
  <c r="W31" i="17" s="1"/>
  <c r="C32" i="17"/>
  <c r="E32" i="17"/>
  <c r="H32" i="17"/>
  <c r="H35" i="17" s="1"/>
  <c r="K32" i="17"/>
  <c r="O32" i="17"/>
  <c r="S32" i="17"/>
  <c r="V32" i="17"/>
  <c r="V35" i="17" s="1"/>
  <c r="B34" i="17"/>
  <c r="B35" i="17" s="1"/>
  <c r="C34" i="17"/>
  <c r="C35" i="17" s="1"/>
  <c r="D34" i="17"/>
  <c r="E34" i="17"/>
  <c r="F34" i="17"/>
  <c r="G34" i="17"/>
  <c r="H34" i="17"/>
  <c r="I34" i="17"/>
  <c r="J34" i="17"/>
  <c r="J35" i="17" s="1"/>
  <c r="K34" i="17"/>
  <c r="K35" i="17" s="1"/>
  <c r="L34" i="17"/>
  <c r="M34" i="17"/>
  <c r="N34" i="17"/>
  <c r="O34" i="17"/>
  <c r="P34" i="17"/>
  <c r="S34" i="17"/>
  <c r="S35" i="17" s="1"/>
  <c r="T34" i="17"/>
  <c r="T35" i="17" s="1"/>
  <c r="U34" i="17"/>
  <c r="B37" i="17"/>
  <c r="C37" i="17"/>
  <c r="D37" i="17"/>
  <c r="E37" i="17"/>
  <c r="F37" i="17"/>
  <c r="G37" i="17"/>
  <c r="H37" i="17"/>
  <c r="I37" i="17"/>
  <c r="J37" i="17"/>
  <c r="K37" i="17"/>
  <c r="L37" i="17"/>
  <c r="M37" i="17"/>
  <c r="N37" i="17"/>
  <c r="O37" i="17"/>
  <c r="P37" i="17"/>
  <c r="R37" i="17"/>
  <c r="S37" i="17"/>
  <c r="T37" i="17"/>
  <c r="U37" i="17"/>
  <c r="V37" i="17"/>
  <c r="V38" i="17" s="1"/>
  <c r="B40" i="17"/>
  <c r="C40" i="17"/>
  <c r="D40" i="17"/>
  <c r="E40" i="17"/>
  <c r="F40" i="17"/>
  <c r="H40" i="17"/>
  <c r="I40" i="17"/>
  <c r="J40" i="17"/>
  <c r="K40" i="17"/>
  <c r="L40" i="17"/>
  <c r="M40" i="17"/>
  <c r="N40" i="17"/>
  <c r="O40" i="17"/>
  <c r="P40" i="17"/>
  <c r="R40" i="17"/>
  <c r="S40" i="17"/>
  <c r="T40" i="17"/>
  <c r="U40" i="17"/>
  <c r="V40" i="17"/>
  <c r="W40" i="17"/>
  <c r="E6" i="5"/>
  <c r="G6" i="5"/>
  <c r="G8" i="5"/>
  <c r="G10" i="5"/>
  <c r="G12" i="5"/>
  <c r="G14" i="5"/>
  <c r="G18" i="5"/>
  <c r="G790" i="2"/>
  <c r="S116" i="2"/>
  <c r="W117" i="2" s="1"/>
  <c r="W120" i="2" s="1"/>
  <c r="W123" i="2" s="1"/>
  <c r="W126" i="2" s="1"/>
  <c r="Z616" i="1"/>
  <c r="Z613" i="1"/>
  <c r="Z667" i="1"/>
  <c r="AB337" i="1"/>
  <c r="AB340" i="1" s="1"/>
  <c r="X21" i="1"/>
  <c r="X24" i="1" s="1"/>
  <c r="X27" i="1" s="1"/>
  <c r="X30" i="1" s="1"/>
  <c r="X33" i="1" s="1"/>
  <c r="Z25" i="4"/>
  <c r="W26" i="4"/>
  <c r="W29" i="4" s="1"/>
  <c r="S117" i="2"/>
  <c r="S120" i="2"/>
  <c r="S123" i="2" s="1"/>
  <c r="S126" i="2" s="1"/>
  <c r="S129" i="2" s="1"/>
  <c r="S132" i="2" s="1"/>
  <c r="S135" i="2" s="1"/>
  <c r="S138" i="2" s="1"/>
  <c r="S141" i="2" s="1"/>
  <c r="S144" i="2" s="1"/>
  <c r="S147" i="2" s="1"/>
  <c r="Q31" i="4"/>
  <c r="V1052" i="1" l="1"/>
  <c r="V1055" i="1" s="1"/>
  <c r="V1058" i="1" s="1"/>
  <c r="V1061" i="1" s="1"/>
  <c r="V1064" i="1" s="1"/>
  <c r="V1067" i="1" s="1"/>
  <c r="V1082" i="1" s="1"/>
  <c r="V1085" i="1" s="1"/>
  <c r="V1088" i="1" s="1"/>
  <c r="V1091" i="1" s="1"/>
  <c r="V1094" i="1" s="1"/>
  <c r="V1097" i="1" s="1"/>
  <c r="V1100" i="1" s="1"/>
  <c r="V1103" i="1" s="1"/>
  <c r="V1106" i="1" s="1"/>
  <c r="V1109" i="1" s="1"/>
  <c r="V1112" i="1" s="1"/>
  <c r="V1115" i="1" s="1"/>
  <c r="L986" i="1"/>
  <c r="L989" i="1" s="1"/>
  <c r="L992" i="1" s="1"/>
  <c r="L995" i="1" s="1"/>
  <c r="L998" i="1" s="1"/>
  <c r="L1001" i="1" s="1"/>
  <c r="L1004" i="1" s="1"/>
  <c r="L1007" i="1" s="1"/>
  <c r="L1010" i="1" s="1"/>
  <c r="L1013" i="1" s="1"/>
  <c r="L1016" i="1" s="1"/>
  <c r="L1019" i="1" s="1"/>
  <c r="L1034" i="1" s="1"/>
  <c r="L1037" i="1" s="1"/>
  <c r="L1040" i="1" s="1"/>
  <c r="L1043" i="1" s="1"/>
  <c r="L1046" i="1" s="1"/>
  <c r="L1049" i="1" s="1"/>
  <c r="L1052" i="1" s="1"/>
  <c r="L1055" i="1" s="1"/>
  <c r="L1058" i="1" s="1"/>
  <c r="L1061" i="1" s="1"/>
  <c r="L1064" i="1" s="1"/>
  <c r="L1067" i="1" s="1"/>
  <c r="M974" i="1"/>
  <c r="L974" i="1"/>
  <c r="I986" i="1"/>
  <c r="I989" i="1" s="1"/>
  <c r="I992" i="1" s="1"/>
  <c r="I995" i="1" s="1"/>
  <c r="I998" i="1" s="1"/>
  <c r="I1001" i="1" s="1"/>
  <c r="I1004" i="1" s="1"/>
  <c r="I1007" i="1" s="1"/>
  <c r="I1010" i="1" s="1"/>
  <c r="I1013" i="1" s="1"/>
  <c r="I1016" i="1" s="1"/>
  <c r="I1019" i="1" s="1"/>
  <c r="I1034" i="1" s="1"/>
  <c r="I1037" i="1" s="1"/>
  <c r="I1040" i="1" s="1"/>
  <c r="I1043" i="1" s="1"/>
  <c r="I1046" i="1" s="1"/>
  <c r="I1049" i="1" s="1"/>
  <c r="I1052" i="1" s="1"/>
  <c r="I1055" i="1" s="1"/>
  <c r="I1058" i="1" s="1"/>
  <c r="I1061" i="1" s="1"/>
  <c r="I1064" i="1" s="1"/>
  <c r="I1067" i="1" s="1"/>
  <c r="AB343" i="1"/>
  <c r="AB361" i="1" s="1"/>
  <c r="AB364" i="1" s="1"/>
  <c r="AB367" i="1" s="1"/>
  <c r="AB370" i="1" s="1"/>
  <c r="AB373" i="1" s="1"/>
  <c r="AB376" i="1" s="1"/>
  <c r="J1175" i="2"/>
  <c r="J1178" i="2" s="1"/>
  <c r="J1181" i="2" s="1"/>
  <c r="J1184" i="2" s="1"/>
  <c r="J1187" i="2" s="1"/>
  <c r="J1190" i="2" s="1"/>
  <c r="J1193" i="2" s="1"/>
  <c r="J1196" i="2" s="1"/>
  <c r="J1199" i="2" s="1"/>
  <c r="J1202" i="2" s="1"/>
  <c r="J1205" i="2" s="1"/>
  <c r="J1208" i="2" s="1"/>
  <c r="H986" i="1"/>
  <c r="H989" i="1" s="1"/>
  <c r="H992" i="1" s="1"/>
  <c r="H995" i="1" s="1"/>
  <c r="H998" i="1" s="1"/>
  <c r="H1001" i="1" s="1"/>
  <c r="H1004" i="1" s="1"/>
  <c r="H1007" i="1" s="1"/>
  <c r="H1010" i="1" s="1"/>
  <c r="H1013" i="1" s="1"/>
  <c r="H1016" i="1" s="1"/>
  <c r="H1019" i="1" s="1"/>
  <c r="H1034" i="1" s="1"/>
  <c r="H1037" i="1" s="1"/>
  <c r="H1040" i="1" s="1"/>
  <c r="H1043" i="1" s="1"/>
  <c r="H1046" i="1" s="1"/>
  <c r="H1049" i="1" s="1"/>
  <c r="H1052" i="1" s="1"/>
  <c r="H1055" i="1" s="1"/>
  <c r="H1058" i="1" s="1"/>
  <c r="H1061" i="1" s="1"/>
  <c r="H1064" i="1" s="1"/>
  <c r="H1067" i="1" s="1"/>
  <c r="H1082" i="1" s="1"/>
  <c r="H1085" i="1" s="1"/>
  <c r="H1088" i="1" s="1"/>
  <c r="H1091" i="1" s="1"/>
  <c r="H1094" i="1" s="1"/>
  <c r="H1097" i="1" s="1"/>
  <c r="H1100" i="1" s="1"/>
  <c r="H1103" i="1" s="1"/>
  <c r="H1106" i="1" s="1"/>
  <c r="H1109" i="1" s="1"/>
  <c r="H1112" i="1" s="1"/>
  <c r="H1115" i="1" s="1"/>
  <c r="G16" i="5"/>
  <c r="G29" i="17"/>
  <c r="G32" i="17" s="1"/>
  <c r="Z970" i="1"/>
  <c r="Z973" i="1" s="1"/>
  <c r="W1109" i="2"/>
  <c r="Z1109" i="2" s="1"/>
  <c r="Q1016" i="2"/>
  <c r="R1008" i="2"/>
  <c r="W1008" i="2" s="1"/>
  <c r="E698" i="1"/>
  <c r="W655" i="2"/>
  <c r="W272" i="2"/>
  <c r="S167" i="2"/>
  <c r="G639" i="1"/>
  <c r="D700" i="1"/>
  <c r="G793" i="2"/>
  <c r="W793" i="2" s="1"/>
  <c r="Q32" i="17"/>
  <c r="W958" i="2"/>
  <c r="W438" i="2"/>
  <c r="W350" i="2"/>
  <c r="C701" i="1"/>
  <c r="C704" i="1" s="1"/>
  <c r="C707" i="1" s="1"/>
  <c r="C710" i="1" s="1"/>
  <c r="C713" i="1" s="1"/>
  <c r="C716" i="1" s="1"/>
  <c r="C719" i="1" s="1"/>
  <c r="C722" i="1" s="1"/>
  <c r="C725" i="1" s="1"/>
  <c r="C728" i="1" s="1"/>
  <c r="C731" i="1" s="1"/>
  <c r="C746" i="1" s="1"/>
  <c r="C749" i="1" s="1"/>
  <c r="C752" i="1" s="1"/>
  <c r="C755" i="1" s="1"/>
  <c r="C758" i="1" s="1"/>
  <c r="C761" i="1" s="1"/>
  <c r="C764" i="1" s="1"/>
  <c r="C767" i="1" s="1"/>
  <c r="C770" i="1" s="1"/>
  <c r="C773" i="1" s="1"/>
  <c r="C776" i="1" s="1"/>
  <c r="C779" i="1" s="1"/>
  <c r="C794" i="1" s="1"/>
  <c r="C797" i="1" s="1"/>
  <c r="C800" i="1" s="1"/>
  <c r="C803" i="1" s="1"/>
  <c r="C806" i="1" s="1"/>
  <c r="C809" i="1" s="1"/>
  <c r="C812" i="1" s="1"/>
  <c r="C815" i="1" s="1"/>
  <c r="C818" i="1" s="1"/>
  <c r="C821" i="1" s="1"/>
  <c r="C824" i="1" s="1"/>
  <c r="C827" i="1" s="1"/>
  <c r="C842" i="1" s="1"/>
  <c r="C845" i="1" s="1"/>
  <c r="C848" i="1" s="1"/>
  <c r="C851" i="1" s="1"/>
  <c r="C854" i="1" s="1"/>
  <c r="C857" i="1" s="1"/>
  <c r="C860" i="1" s="1"/>
  <c r="C863" i="1" s="1"/>
  <c r="C866" i="1" s="1"/>
  <c r="C869" i="1" s="1"/>
  <c r="C872" i="1" s="1"/>
  <c r="C875" i="1" s="1"/>
  <c r="C890" i="1" s="1"/>
  <c r="C893" i="1" s="1"/>
  <c r="C896" i="1" s="1"/>
  <c r="C899" i="1" s="1"/>
  <c r="C902" i="1" s="1"/>
  <c r="C905" i="1" s="1"/>
  <c r="C908" i="1" s="1"/>
  <c r="C911" i="1" s="1"/>
  <c r="C914" i="1" s="1"/>
  <c r="C917" i="1" s="1"/>
  <c r="C920" i="1" s="1"/>
  <c r="C923" i="1" s="1"/>
  <c r="C938" i="1" s="1"/>
  <c r="C941" i="1" s="1"/>
  <c r="C944" i="1" s="1"/>
  <c r="C947" i="1" s="1"/>
  <c r="C950" i="1" s="1"/>
  <c r="C953" i="1" s="1"/>
  <c r="C956" i="1" s="1"/>
  <c r="C959" i="1" s="1"/>
  <c r="C962" i="1" s="1"/>
  <c r="C965" i="1" s="1"/>
  <c r="C968" i="1" s="1"/>
  <c r="C971" i="1" s="1"/>
  <c r="C986" i="1" s="1"/>
  <c r="C989" i="1" s="1"/>
  <c r="C992" i="1" s="1"/>
  <c r="C995" i="1" s="1"/>
  <c r="C998" i="1" s="1"/>
  <c r="C1001" i="1" s="1"/>
  <c r="C1004" i="1" s="1"/>
  <c r="C1007" i="1" s="1"/>
  <c r="C1010" i="1" s="1"/>
  <c r="C1013" i="1" s="1"/>
  <c r="C1016" i="1" s="1"/>
  <c r="C1019" i="1" s="1"/>
  <c r="C1034" i="1" s="1"/>
  <c r="C1037" i="1" s="1"/>
  <c r="C1040" i="1" s="1"/>
  <c r="C1043" i="1" s="1"/>
  <c r="C1046" i="1" s="1"/>
  <c r="C1049" i="1" s="1"/>
  <c r="C1052" i="1" s="1"/>
  <c r="C1055" i="1" s="1"/>
  <c r="C1058" i="1" s="1"/>
  <c r="C1061" i="1" s="1"/>
  <c r="C1064" i="1" s="1"/>
  <c r="C1067" i="1" s="1"/>
  <c r="C1082" i="1" s="1"/>
  <c r="C1085" i="1" s="1"/>
  <c r="C1088" i="1" s="1"/>
  <c r="C1091" i="1" s="1"/>
  <c r="C1094" i="1" s="1"/>
  <c r="C1097" i="1" s="1"/>
  <c r="C1100" i="1" s="1"/>
  <c r="C1103" i="1" s="1"/>
  <c r="C1106" i="1" s="1"/>
  <c r="C1109" i="1" s="1"/>
  <c r="C1112" i="1" s="1"/>
  <c r="C1115" i="1" s="1"/>
  <c r="W770" i="2"/>
  <c r="W34" i="17" s="1"/>
  <c r="W35" i="17" s="1"/>
  <c r="W38" i="17" s="1"/>
  <c r="W41" i="17" s="1"/>
  <c r="P35" i="17"/>
  <c r="S218" i="2"/>
  <c r="D698" i="1"/>
  <c r="G700" i="1"/>
  <c r="W700" i="1" s="1"/>
  <c r="W129" i="2"/>
  <c r="W132" i="2" s="1"/>
  <c r="W135" i="2" s="1"/>
  <c r="W138" i="2" s="1"/>
  <c r="W141" i="2" s="1"/>
  <c r="W144" i="2" s="1"/>
  <c r="W147" i="2" s="1"/>
  <c r="W150" i="2" s="1"/>
  <c r="W165" i="2" s="1"/>
  <c r="W168" i="2" s="1"/>
  <c r="W171" i="2" s="1"/>
  <c r="W174" i="2" s="1"/>
  <c r="W177" i="2" s="1"/>
  <c r="W180" i="2" s="1"/>
  <c r="W183" i="2" s="1"/>
  <c r="W186" i="2" s="1"/>
  <c r="W189" i="2" s="1"/>
  <c r="W192" i="2" s="1"/>
  <c r="W195" i="2" s="1"/>
  <c r="W198" i="2" s="1"/>
  <c r="W216" i="2" s="1"/>
  <c r="W219" i="2" s="1"/>
  <c r="W222" i="2" s="1"/>
  <c r="W225" i="2" s="1"/>
  <c r="W228" i="2" s="1"/>
  <c r="W231" i="2" s="1"/>
  <c r="W234" i="2" s="1"/>
  <c r="W237" i="2" s="1"/>
  <c r="W240" i="2" s="1"/>
  <c r="W243" i="2" s="1"/>
  <c r="W246" i="2" s="1"/>
  <c r="W249" i="2" s="1"/>
  <c r="X270" i="2" s="1"/>
  <c r="X273" i="2" s="1"/>
  <c r="X276" i="2" s="1"/>
  <c r="X279" i="2" s="1"/>
  <c r="X282" i="2" s="1"/>
  <c r="X285" i="2" s="1"/>
  <c r="X288" i="2" s="1"/>
  <c r="X291" i="2" s="1"/>
  <c r="X294" i="2" s="1"/>
  <c r="X297" i="2" s="1"/>
  <c r="X300" i="2" s="1"/>
  <c r="X303" i="2" s="1"/>
  <c r="I35" i="17"/>
  <c r="R1051" i="2"/>
  <c r="W1051" i="2" s="1"/>
  <c r="W726" i="2"/>
  <c r="R129" i="2"/>
  <c r="R132" i="2" s="1"/>
  <c r="R135" i="2" s="1"/>
  <c r="R138" i="2" s="1"/>
  <c r="R141" i="2" s="1"/>
  <c r="R144" i="2" s="1"/>
  <c r="R147" i="2" s="1"/>
  <c r="R150" i="2" s="1"/>
  <c r="R165" i="2" s="1"/>
  <c r="R168" i="2" s="1"/>
  <c r="R171" i="2" s="1"/>
  <c r="R174" i="2" s="1"/>
  <c r="R177" i="2" s="1"/>
  <c r="R180" i="2" s="1"/>
  <c r="R183" i="2" s="1"/>
  <c r="R186" i="2" s="1"/>
  <c r="R189" i="2" s="1"/>
  <c r="R192" i="2" s="1"/>
  <c r="R195" i="2" s="1"/>
  <c r="R198" i="2" s="1"/>
  <c r="R216" i="2" s="1"/>
  <c r="R219" i="2" s="1"/>
  <c r="R222" i="2" s="1"/>
  <c r="R225" i="2" s="1"/>
  <c r="R228" i="2" s="1"/>
  <c r="R231" i="2" s="1"/>
  <c r="R234" i="2" s="1"/>
  <c r="R237" i="2" s="1"/>
  <c r="R240" i="2" s="1"/>
  <c r="R243" i="2" s="1"/>
  <c r="R246" i="2" s="1"/>
  <c r="R249" i="2" s="1"/>
  <c r="R270" i="2" s="1"/>
  <c r="R273" i="2" s="1"/>
  <c r="R276" i="2" s="1"/>
  <c r="R279" i="2" s="1"/>
  <c r="R282" i="2" s="1"/>
  <c r="R285" i="2" s="1"/>
  <c r="E7" i="3" s="1"/>
  <c r="J975" i="1"/>
  <c r="R329" i="2"/>
  <c r="W760" i="1"/>
  <c r="W1094" i="2"/>
  <c r="R1054" i="2"/>
  <c r="W1054" i="2" s="1"/>
  <c r="R1042" i="2"/>
  <c r="W1042" i="2" s="1"/>
  <c r="R1036" i="2"/>
  <c r="W1036" i="2" s="1"/>
  <c r="R1030" i="2"/>
  <c r="W1030" i="2" s="1"/>
  <c r="W934" i="2"/>
  <c r="W899" i="2"/>
  <c r="W823" i="2"/>
  <c r="W764" i="2"/>
  <c r="W714" i="2"/>
  <c r="W632" i="2"/>
  <c r="W608" i="2"/>
  <c r="W573" i="2"/>
  <c r="W520" i="2"/>
  <c r="W464" i="2"/>
  <c r="W394" i="2"/>
  <c r="R353" i="2"/>
  <c r="W353" i="2" s="1"/>
  <c r="G347" i="2"/>
  <c r="S233" i="2"/>
  <c r="S182" i="2"/>
  <c r="S31" i="2"/>
  <c r="S19" i="2"/>
  <c r="W1012" i="1"/>
  <c r="Z1012" i="1" s="1"/>
  <c r="W937" i="1"/>
  <c r="W761" i="2"/>
  <c r="W284" i="2"/>
  <c r="Q970" i="1"/>
  <c r="W970" i="1" s="1"/>
  <c r="O35" i="17"/>
  <c r="G35" i="17"/>
  <c r="R1057" i="2"/>
  <c r="W1057" i="2" s="1"/>
  <c r="R1045" i="2"/>
  <c r="W1045" i="2" s="1"/>
  <c r="W999" i="2"/>
  <c r="W723" i="2"/>
  <c r="R341" i="2"/>
  <c r="N35" i="17"/>
  <c r="M35" i="17"/>
  <c r="E35" i="17"/>
  <c r="W1100" i="2"/>
  <c r="Z1100" i="2" s="1"/>
  <c r="R1048" i="2"/>
  <c r="W1048" i="2" s="1"/>
  <c r="R1039" i="2"/>
  <c r="W1039" i="2" s="1"/>
  <c r="R1033" i="2"/>
  <c r="W1033" i="2" s="1"/>
  <c r="R1027" i="2"/>
  <c r="W1027" i="2" s="1"/>
  <c r="W981" i="2"/>
  <c r="W961" i="2"/>
  <c r="W946" i="2"/>
  <c r="W911" i="2"/>
  <c r="W887" i="2"/>
  <c r="W811" i="2"/>
  <c r="W773" i="2"/>
  <c r="W37" i="17" s="1"/>
  <c r="W758" i="2"/>
  <c r="W585" i="2"/>
  <c r="W561" i="2"/>
  <c r="W532" i="2"/>
  <c r="W508" i="2"/>
  <c r="W488" i="2"/>
  <c r="W429" i="2"/>
  <c r="W382" i="2"/>
  <c r="W296" i="2"/>
  <c r="S149" i="2"/>
  <c r="S150" i="2" s="1"/>
  <c r="S165" i="2" s="1"/>
  <c r="S168" i="2" s="1"/>
  <c r="S171" i="2" s="1"/>
  <c r="S174" i="2" s="1"/>
  <c r="S177" i="2" s="1"/>
  <c r="S180" i="2" s="1"/>
  <c r="S183" i="2" s="1"/>
  <c r="S186" i="2" s="1"/>
  <c r="S189" i="2" s="1"/>
  <c r="S192" i="2" s="1"/>
  <c r="S195" i="2" s="1"/>
  <c r="S198" i="2" s="1"/>
  <c r="S216" i="2" s="1"/>
  <c r="S219" i="2" s="1"/>
  <c r="S222" i="2" s="1"/>
  <c r="S225" i="2" s="1"/>
  <c r="S228" i="2" s="1"/>
  <c r="S231" i="2" s="1"/>
  <c r="S234" i="2" s="1"/>
  <c r="S237" i="2" s="1"/>
  <c r="S240" i="2" s="1"/>
  <c r="S243" i="2" s="1"/>
  <c r="S246" i="2" s="1"/>
  <c r="S249" i="2" s="1"/>
  <c r="W270" i="2" s="1"/>
  <c r="W273" i="2" s="1"/>
  <c r="W276" i="2" s="1"/>
  <c r="W279" i="2" s="1"/>
  <c r="W282" i="2" s="1"/>
  <c r="W285" i="2" s="1"/>
  <c r="W288" i="2" s="1"/>
  <c r="W291" i="2" s="1"/>
  <c r="W294" i="2" s="1"/>
  <c r="W297" i="2" s="1"/>
  <c r="W300" i="2" s="1"/>
  <c r="W303" i="2" s="1"/>
  <c r="W619" i="1"/>
  <c r="G344" i="2"/>
  <c r="W344" i="2" s="1"/>
  <c r="F35" i="17"/>
  <c r="F698" i="1"/>
  <c r="U35" i="17"/>
  <c r="U38" i="17" s="1"/>
  <c r="U41" i="17" s="1"/>
  <c r="L35" i="17"/>
  <c r="L38" i="17" s="1"/>
  <c r="L41" i="17" s="1"/>
  <c r="D35" i="17"/>
  <c r="W1088" i="2"/>
  <c r="R1011" i="2"/>
  <c r="W1011" i="2" s="1"/>
  <c r="R1002" i="2"/>
  <c r="W1002" i="2" s="1"/>
  <c r="W996" i="2"/>
  <c r="W937" i="2"/>
  <c r="W902" i="2"/>
  <c r="W867" i="2"/>
  <c r="W767" i="2"/>
  <c r="W708" i="2"/>
  <c r="W626" i="2"/>
  <c r="W605" i="2"/>
  <c r="W570" i="2"/>
  <c r="W523" i="2"/>
  <c r="W447" i="2"/>
  <c r="W388" i="2"/>
  <c r="G353" i="2"/>
  <c r="G341" i="2"/>
  <c r="W281" i="2"/>
  <c r="S227" i="2"/>
  <c r="S176" i="2"/>
  <c r="W919" i="1"/>
  <c r="S43" i="2"/>
  <c r="S37" i="2"/>
  <c r="S25" i="2"/>
  <c r="S16" i="2"/>
  <c r="W1018" i="1"/>
  <c r="Z1018" i="1" s="1"/>
  <c r="W1006" i="1"/>
  <c r="W712" i="1"/>
  <c r="AA367" i="1"/>
  <c r="W367" i="1"/>
  <c r="W556" i="1"/>
  <c r="W532" i="1"/>
  <c r="W520" i="1"/>
  <c r="W508" i="1"/>
  <c r="W427" i="1"/>
  <c r="W334" i="1"/>
  <c r="W634" i="1"/>
  <c r="W439" i="1"/>
  <c r="W373" i="1"/>
  <c r="W607" i="1"/>
  <c r="W484" i="1"/>
  <c r="W469" i="1"/>
  <c r="AA343" i="1"/>
  <c r="W343" i="1"/>
  <c r="W433" i="1"/>
  <c r="W391" i="1"/>
  <c r="R229" i="1"/>
  <c r="R232" i="1" s="1"/>
  <c r="R235" i="1" s="1"/>
  <c r="R238" i="1" s="1"/>
  <c r="R241" i="1" s="1"/>
  <c r="R244" i="1" s="1"/>
  <c r="R261" i="1" s="1"/>
  <c r="R264" i="1" s="1"/>
  <c r="R267" i="1" s="1"/>
  <c r="R270" i="1" s="1"/>
  <c r="R273" i="1" s="1"/>
  <c r="R276" i="1" s="1"/>
  <c r="I8" i="3"/>
  <c r="W463" i="1"/>
  <c r="W364" i="1"/>
  <c r="G89" i="1"/>
  <c r="G92" i="1" s="1"/>
  <c r="G95" i="1" s="1"/>
  <c r="G111" i="1" s="1"/>
  <c r="G114" i="1" s="1"/>
  <c r="G117" i="1" s="1"/>
  <c r="G120" i="1" s="1"/>
  <c r="G123" i="1" s="1"/>
  <c r="G126" i="1" s="1"/>
  <c r="G129" i="1" s="1"/>
  <c r="G132" i="1" s="1"/>
  <c r="G135" i="1" s="1"/>
  <c r="G138" i="1" s="1"/>
  <c r="G141" i="1" s="1"/>
  <c r="G144" i="1" s="1"/>
  <c r="G161" i="1" s="1"/>
  <c r="G164" i="1" s="1"/>
  <c r="G167" i="1" s="1"/>
  <c r="G170" i="1" s="1"/>
  <c r="G173" i="1" s="1"/>
  <c r="G176" i="1" s="1"/>
  <c r="G29" i="4"/>
  <c r="W219" i="1"/>
  <c r="W284" i="1"/>
  <c r="W213" i="1"/>
  <c r="W61" i="1"/>
  <c r="W166" i="1"/>
  <c r="AC30" i="1"/>
  <c r="AA33" i="1"/>
  <c r="AC33" i="1" s="1"/>
  <c r="W131" i="1"/>
  <c r="W119" i="1"/>
  <c r="W35" i="1"/>
  <c r="X36" i="1" s="1"/>
  <c r="X39" i="1" s="1"/>
  <c r="X42" i="1" s="1"/>
  <c r="X45" i="1" s="1"/>
  <c r="AB36" i="1"/>
  <c r="AB39" i="1" s="1"/>
  <c r="AB42" i="1" s="1"/>
  <c r="AB45" i="1" s="1"/>
  <c r="AB62" i="1" s="1"/>
  <c r="AB65" i="1" s="1"/>
  <c r="W11" i="1"/>
  <c r="W12" i="1" s="1"/>
  <c r="W15" i="1" s="1"/>
  <c r="W18" i="1" s="1"/>
  <c r="W21" i="1" s="1"/>
  <c r="W24" i="1" s="1"/>
  <c r="W27" i="1" s="1"/>
  <c r="W30" i="1" s="1"/>
  <c r="W33" i="1" s="1"/>
  <c r="Q12" i="1"/>
  <c r="Q15" i="1" s="1"/>
  <c r="Q18" i="1" s="1"/>
  <c r="Q21" i="1" s="1"/>
  <c r="Q24" i="1" s="1"/>
  <c r="Q27" i="1" s="1"/>
  <c r="Q30" i="1" s="1"/>
  <c r="Q33" i="1" s="1"/>
  <c r="Q36" i="1" s="1"/>
  <c r="Q39" i="1" s="1"/>
  <c r="Q42" i="1" s="1"/>
  <c r="Q45" i="1" s="1"/>
  <c r="Q62" i="1" s="1"/>
  <c r="Q65" i="1" s="1"/>
  <c r="Q68" i="1" s="1"/>
  <c r="Q71" i="1" s="1"/>
  <c r="Q74" i="1" s="1"/>
  <c r="Q77" i="1" s="1"/>
  <c r="Q80" i="1" s="1"/>
  <c r="Q83" i="1" s="1"/>
  <c r="Q86" i="1" s="1"/>
  <c r="Q89" i="1" s="1"/>
  <c r="Q92" i="1" s="1"/>
  <c r="Q95" i="1" s="1"/>
  <c r="Q111" i="1" s="1"/>
  <c r="Q114" i="1" s="1"/>
  <c r="Q117" i="1" s="1"/>
  <c r="Q120" i="1" s="1"/>
  <c r="Q123" i="1" s="1"/>
  <c r="Q126" i="1" s="1"/>
  <c r="Q129" i="1" s="1"/>
  <c r="Q132" i="1" s="1"/>
  <c r="Q135" i="1" s="1"/>
  <c r="Q138" i="1" s="1"/>
  <c r="Q141" i="1" s="1"/>
  <c r="Q144" i="1" s="1"/>
  <c r="Q161" i="1" s="1"/>
  <c r="Q164" i="1" s="1"/>
  <c r="Q167" i="1" s="1"/>
  <c r="Q170" i="1" s="1"/>
  <c r="Q173" i="1" s="1"/>
  <c r="Q176" i="1" s="1"/>
  <c r="AA36" i="1"/>
  <c r="W37" i="4"/>
  <c r="W19" i="4"/>
  <c r="W13" i="4"/>
  <c r="Q14" i="4"/>
  <c r="Q17" i="4" s="1"/>
  <c r="Q20" i="4" s="1"/>
  <c r="Q23" i="4" s="1"/>
  <c r="W8" i="4"/>
  <c r="X8" i="4"/>
  <c r="O32" i="4"/>
  <c r="O35" i="4" s="1"/>
  <c r="O38" i="4" s="1"/>
  <c r="O41" i="4" s="1"/>
  <c r="F32" i="4"/>
  <c r="F35" i="4" s="1"/>
  <c r="F38" i="4" s="1"/>
  <c r="F41" i="4" s="1"/>
  <c r="W16" i="4"/>
  <c r="W10" i="4"/>
  <c r="X11" i="4" s="1"/>
  <c r="W122" i="1"/>
  <c r="M32" i="4"/>
  <c r="D32" i="4"/>
  <c r="D35" i="4" s="1"/>
  <c r="D38" i="4" s="1"/>
  <c r="D41" i="4" s="1"/>
  <c r="V35" i="4"/>
  <c r="V38" i="4" s="1"/>
  <c r="V41" i="4" s="1"/>
  <c r="S32" i="4"/>
  <c r="S35" i="4" s="1"/>
  <c r="S38" i="4" s="1"/>
  <c r="S41" i="4" s="1"/>
  <c r="J32" i="4"/>
  <c r="J35" i="4" s="1"/>
  <c r="J38" i="4" s="1"/>
  <c r="J41" i="4" s="1"/>
  <c r="R32" i="4"/>
  <c r="R35" i="4" s="1"/>
  <c r="R38" i="4" s="1"/>
  <c r="R41" i="4" s="1"/>
  <c r="I32" i="4"/>
  <c r="I35" i="4" s="1"/>
  <c r="I38" i="4" s="1"/>
  <c r="I41" i="4" s="1"/>
  <c r="B35" i="4"/>
  <c r="B38" i="4" s="1"/>
  <c r="B41" i="4" s="1"/>
  <c r="Z1174" i="2"/>
  <c r="R288" i="2"/>
  <c r="R291" i="2" s="1"/>
  <c r="R294" i="2" s="1"/>
  <c r="R297" i="2" s="1"/>
  <c r="R300" i="2" s="1"/>
  <c r="R303" i="2" s="1"/>
  <c r="U838" i="2"/>
  <c r="U841" i="2" s="1"/>
  <c r="U844" i="2" s="1"/>
  <c r="U847" i="2" s="1"/>
  <c r="U850" i="2" s="1"/>
  <c r="U853" i="2" s="1"/>
  <c r="U856" i="2" s="1"/>
  <c r="U859" i="2" s="1"/>
  <c r="U862" i="2" s="1"/>
  <c r="U865" i="2" s="1"/>
  <c r="U868" i="2" s="1"/>
  <c r="U871" i="2" s="1"/>
  <c r="U885" i="2" s="1"/>
  <c r="U888" i="2" s="1"/>
  <c r="U891" i="2" s="1"/>
  <c r="U894" i="2" s="1"/>
  <c r="U897" i="2" s="1"/>
  <c r="U900" i="2" s="1"/>
  <c r="U903" i="2" s="1"/>
  <c r="U906" i="2" s="1"/>
  <c r="U909" i="2" s="1"/>
  <c r="U912" i="2" s="1"/>
  <c r="U915" i="2" s="1"/>
  <c r="U918" i="2" s="1"/>
  <c r="U932" i="2" s="1"/>
  <c r="U935" i="2" s="1"/>
  <c r="U938" i="2" s="1"/>
  <c r="U941" i="2" s="1"/>
  <c r="U944" i="2" s="1"/>
  <c r="U947" i="2" s="1"/>
  <c r="U950" i="2" s="1"/>
  <c r="U953" i="2" s="1"/>
  <c r="U956" i="2" s="1"/>
  <c r="U959" i="2" s="1"/>
  <c r="U962" i="2" s="1"/>
  <c r="U965" i="2" s="1"/>
  <c r="U979" i="2" s="1"/>
  <c r="U982" i="2" s="1"/>
  <c r="U985" i="2" s="1"/>
  <c r="U988" i="2" s="1"/>
  <c r="U991" i="2" s="1"/>
  <c r="U994" i="2" s="1"/>
  <c r="U997" i="2" s="1"/>
  <c r="U1000" i="2" s="1"/>
  <c r="U1003" i="2" s="1"/>
  <c r="U1006" i="2" s="1"/>
  <c r="U1009" i="2" s="1"/>
  <c r="U1012" i="2" s="1"/>
  <c r="U1028" i="2" s="1"/>
  <c r="U1031" i="2" s="1"/>
  <c r="U1034" i="2" s="1"/>
  <c r="U1037" i="2" s="1"/>
  <c r="U1040" i="2" s="1"/>
  <c r="U1043" i="2" s="1"/>
  <c r="U1046" i="2" s="1"/>
  <c r="U1049" i="2" s="1"/>
  <c r="U1052" i="2" s="1"/>
  <c r="U1055" i="2" s="1"/>
  <c r="U1058" i="2" s="1"/>
  <c r="U1061" i="2" s="1"/>
  <c r="U1077" i="2" s="1"/>
  <c r="U1080" i="2" s="1"/>
  <c r="U1083" i="2" s="1"/>
  <c r="U1086" i="2" s="1"/>
  <c r="U1089" i="2" s="1"/>
  <c r="U1092" i="2" s="1"/>
  <c r="U1095" i="2" s="1"/>
  <c r="U1098" i="2" s="1"/>
  <c r="U1101" i="2" s="1"/>
  <c r="U1104" i="2" s="1"/>
  <c r="U1107" i="2" s="1"/>
  <c r="U1110" i="2" s="1"/>
  <c r="U1126" i="2" s="1"/>
  <c r="U1129" i="2" s="1"/>
  <c r="U1132" i="2" s="1"/>
  <c r="U1135" i="2" s="1"/>
  <c r="U1138" i="2" s="1"/>
  <c r="U1141" i="2" s="1"/>
  <c r="U1144" i="2" s="1"/>
  <c r="U1147" i="2" s="1"/>
  <c r="U1150" i="2" s="1"/>
  <c r="U1153" i="2" s="1"/>
  <c r="U1156" i="2" s="1"/>
  <c r="U1159" i="2" s="1"/>
  <c r="U1175" i="2" s="1"/>
  <c r="U1178" i="2" s="1"/>
  <c r="U1181" i="2" s="1"/>
  <c r="U1184" i="2" s="1"/>
  <c r="U1187" i="2" s="1"/>
  <c r="U1190" i="2" s="1"/>
  <c r="U1193" i="2" s="1"/>
  <c r="U1196" i="2" s="1"/>
  <c r="U1199" i="2" s="1"/>
  <c r="U1202" i="2" s="1"/>
  <c r="U1205" i="2" s="1"/>
  <c r="U1208" i="2" s="1"/>
  <c r="L1114" i="2"/>
  <c r="J1114" i="2"/>
  <c r="W347" i="2"/>
  <c r="P1114" i="2"/>
  <c r="K1114" i="2"/>
  <c r="G338" i="2"/>
  <c r="W335" i="2"/>
  <c r="R332" i="2"/>
  <c r="W332" i="2" s="1"/>
  <c r="R326" i="2"/>
  <c r="W326" i="2" s="1"/>
  <c r="R323" i="2"/>
  <c r="W323" i="2" s="1"/>
  <c r="R320" i="2"/>
  <c r="W320" i="2" s="1"/>
  <c r="S291" i="2"/>
  <c r="S294" i="2" s="1"/>
  <c r="S297" i="2" s="1"/>
  <c r="S300" i="2" s="1"/>
  <c r="S303" i="2" s="1"/>
  <c r="S321" i="2" s="1"/>
  <c r="S324" i="2" s="1"/>
  <c r="S327" i="2" s="1"/>
  <c r="S330" i="2" s="1"/>
  <c r="S333" i="2" s="1"/>
  <c r="S336" i="2" s="1"/>
  <c r="C339" i="2"/>
  <c r="C342" i="2" s="1"/>
  <c r="C345" i="2" s="1"/>
  <c r="C348" i="2" s="1"/>
  <c r="C351" i="2" s="1"/>
  <c r="C354" i="2" s="1"/>
  <c r="C368" i="2" s="1"/>
  <c r="C371" i="2" s="1"/>
  <c r="C374" i="2" s="1"/>
  <c r="C377" i="2" s="1"/>
  <c r="C380" i="2" s="1"/>
  <c r="C383" i="2" s="1"/>
  <c r="C386" i="2" s="1"/>
  <c r="C389" i="2" s="1"/>
  <c r="C392" i="2" s="1"/>
  <c r="C395" i="2" s="1"/>
  <c r="C398" i="2" s="1"/>
  <c r="C401" i="2" s="1"/>
  <c r="C415" i="2" s="1"/>
  <c r="C418" i="2" s="1"/>
  <c r="C421" i="2" s="1"/>
  <c r="C424" i="2" s="1"/>
  <c r="C427" i="2" s="1"/>
  <c r="C430" i="2" s="1"/>
  <c r="C433" i="2" s="1"/>
  <c r="C436" i="2" s="1"/>
  <c r="C439" i="2" s="1"/>
  <c r="C442" i="2" s="1"/>
  <c r="C445" i="2" s="1"/>
  <c r="C448" i="2" s="1"/>
  <c r="C462" i="2" s="1"/>
  <c r="C465" i="2" s="1"/>
  <c r="C468" i="2" s="1"/>
  <c r="C471" i="2" s="1"/>
  <c r="C474" i="2" s="1"/>
  <c r="C477" i="2" s="1"/>
  <c r="C480" i="2" s="1"/>
  <c r="C483" i="2" s="1"/>
  <c r="C486" i="2" s="1"/>
  <c r="C489" i="2" s="1"/>
  <c r="C492" i="2" s="1"/>
  <c r="C495" i="2" s="1"/>
  <c r="C509" i="2" s="1"/>
  <c r="C512" i="2" s="1"/>
  <c r="C515" i="2" s="1"/>
  <c r="C518" i="2" s="1"/>
  <c r="C521" i="2" s="1"/>
  <c r="C524" i="2" s="1"/>
  <c r="C527" i="2" s="1"/>
  <c r="C530" i="2" s="1"/>
  <c r="C533" i="2" s="1"/>
  <c r="C536" i="2" s="1"/>
  <c r="C539" i="2" s="1"/>
  <c r="C542" i="2" s="1"/>
  <c r="C556" i="2" s="1"/>
  <c r="C559" i="2" s="1"/>
  <c r="C562" i="2" s="1"/>
  <c r="C565" i="2" s="1"/>
  <c r="C568" i="2" s="1"/>
  <c r="C571" i="2" s="1"/>
  <c r="C574" i="2" s="1"/>
  <c r="C577" i="2" s="1"/>
  <c r="C580" i="2" s="1"/>
  <c r="C583" i="2" s="1"/>
  <c r="C586" i="2" s="1"/>
  <c r="C589" i="2" s="1"/>
  <c r="C603" i="2" s="1"/>
  <c r="C606" i="2" s="1"/>
  <c r="C609" i="2" s="1"/>
  <c r="C612" i="2" s="1"/>
  <c r="C615" i="2" s="1"/>
  <c r="C618" i="2" s="1"/>
  <c r="C621" i="2" s="1"/>
  <c r="C624" i="2" s="1"/>
  <c r="C627" i="2" s="1"/>
  <c r="C630" i="2" s="1"/>
  <c r="C633" i="2" s="1"/>
  <c r="C636" i="2" s="1"/>
  <c r="C650" i="2" s="1"/>
  <c r="C653" i="2" s="1"/>
  <c r="C656" i="2" s="1"/>
  <c r="C659" i="2" s="1"/>
  <c r="C662" i="2" s="1"/>
  <c r="C665" i="2" s="1"/>
  <c r="C668" i="2" s="1"/>
  <c r="C671" i="2" s="1"/>
  <c r="C674" i="2" s="1"/>
  <c r="C677" i="2" s="1"/>
  <c r="C680" i="2" s="1"/>
  <c r="C683" i="2" s="1"/>
  <c r="C697" i="2" s="1"/>
  <c r="C700" i="2" s="1"/>
  <c r="C703" i="2" s="1"/>
  <c r="C706" i="2" s="1"/>
  <c r="C709" i="2" s="1"/>
  <c r="C712" i="2" s="1"/>
  <c r="C715" i="2" s="1"/>
  <c r="C718" i="2" s="1"/>
  <c r="C721" i="2" s="1"/>
  <c r="C724" i="2" s="1"/>
  <c r="C727" i="2" s="1"/>
  <c r="C730" i="2" s="1"/>
  <c r="C744" i="2" s="1"/>
  <c r="C747" i="2" s="1"/>
  <c r="C750" i="2" s="1"/>
  <c r="C753" i="2" s="1"/>
  <c r="C756" i="2" s="1"/>
  <c r="C759" i="2" s="1"/>
  <c r="C762" i="2" s="1"/>
  <c r="C765" i="2" s="1"/>
  <c r="C768" i="2" s="1"/>
  <c r="C771" i="2" s="1"/>
  <c r="C774" i="2" s="1"/>
  <c r="C777" i="2" s="1"/>
  <c r="C791" i="2" s="1"/>
  <c r="C794" i="2" s="1"/>
  <c r="C797" i="2" s="1"/>
  <c r="C800" i="2" s="1"/>
  <c r="C803" i="2" s="1"/>
  <c r="C806" i="2" s="1"/>
  <c r="C809" i="2" s="1"/>
  <c r="C812" i="2" s="1"/>
  <c r="C815" i="2" s="1"/>
  <c r="C818" i="2" s="1"/>
  <c r="C821" i="2" s="1"/>
  <c r="C824" i="2" s="1"/>
  <c r="C838" i="2" s="1"/>
  <c r="C841" i="2" s="1"/>
  <c r="C844" i="2" s="1"/>
  <c r="C847" i="2" s="1"/>
  <c r="C850" i="2" s="1"/>
  <c r="C853" i="2" s="1"/>
  <c r="C856" i="2" s="1"/>
  <c r="C859" i="2" s="1"/>
  <c r="C862" i="2" s="1"/>
  <c r="C865" i="2" s="1"/>
  <c r="C868" i="2" s="1"/>
  <c r="C871" i="2" s="1"/>
  <c r="C885" i="2" s="1"/>
  <c r="C888" i="2" s="1"/>
  <c r="C891" i="2" s="1"/>
  <c r="C894" i="2" s="1"/>
  <c r="C897" i="2" s="1"/>
  <c r="C900" i="2" s="1"/>
  <c r="C903" i="2" s="1"/>
  <c r="C906" i="2" s="1"/>
  <c r="C909" i="2" s="1"/>
  <c r="C912" i="2" s="1"/>
  <c r="C915" i="2" s="1"/>
  <c r="C918" i="2" s="1"/>
  <c r="C932" i="2" s="1"/>
  <c r="C935" i="2" s="1"/>
  <c r="C938" i="2" s="1"/>
  <c r="C941" i="2" s="1"/>
  <c r="C944" i="2" s="1"/>
  <c r="C947" i="2" s="1"/>
  <c r="C950" i="2" s="1"/>
  <c r="C953" i="2" s="1"/>
  <c r="C956" i="2" s="1"/>
  <c r="C959" i="2" s="1"/>
  <c r="C962" i="2" s="1"/>
  <c r="C965" i="2" s="1"/>
  <c r="C979" i="2" s="1"/>
  <c r="C982" i="2" s="1"/>
  <c r="C985" i="2" s="1"/>
  <c r="C988" i="2" s="1"/>
  <c r="C991" i="2" s="1"/>
  <c r="C994" i="2" s="1"/>
  <c r="C997" i="2" s="1"/>
  <c r="C1000" i="2" s="1"/>
  <c r="C1003" i="2" s="1"/>
  <c r="C1006" i="2" s="1"/>
  <c r="C1009" i="2" s="1"/>
  <c r="C1012" i="2" s="1"/>
  <c r="C1028" i="2" s="1"/>
  <c r="C1031" i="2" s="1"/>
  <c r="C1034" i="2" s="1"/>
  <c r="C1037" i="2" s="1"/>
  <c r="C1040" i="2" s="1"/>
  <c r="C1043" i="2" s="1"/>
  <c r="C1046" i="2" s="1"/>
  <c r="C1049" i="2" s="1"/>
  <c r="C1052" i="2" s="1"/>
  <c r="C1055" i="2" s="1"/>
  <c r="C1058" i="2" s="1"/>
  <c r="C1061" i="2" s="1"/>
  <c r="C1077" i="2" s="1"/>
  <c r="C1080" i="2" s="1"/>
  <c r="C1083" i="2" s="1"/>
  <c r="C1086" i="2" s="1"/>
  <c r="C1089" i="2" s="1"/>
  <c r="C1092" i="2" s="1"/>
  <c r="C1095" i="2" s="1"/>
  <c r="C1098" i="2" s="1"/>
  <c r="C1101" i="2" s="1"/>
  <c r="C1104" i="2" s="1"/>
  <c r="C1107" i="2" s="1"/>
  <c r="C1110" i="2" s="1"/>
  <c r="C1126" i="2" s="1"/>
  <c r="C1129" i="2" s="1"/>
  <c r="C1132" i="2" s="1"/>
  <c r="C1135" i="2" s="1"/>
  <c r="C1138" i="2" s="1"/>
  <c r="C1141" i="2" s="1"/>
  <c r="C1144" i="2" s="1"/>
  <c r="C1147" i="2" s="1"/>
  <c r="C1150" i="2" s="1"/>
  <c r="C1153" i="2" s="1"/>
  <c r="C1156" i="2" s="1"/>
  <c r="C1159" i="2" s="1"/>
  <c r="C1175" i="2" s="1"/>
  <c r="C1178" i="2" s="1"/>
  <c r="C1181" i="2" s="1"/>
  <c r="C1184" i="2" s="1"/>
  <c r="C1187" i="2" s="1"/>
  <c r="C1190" i="2" s="1"/>
  <c r="C1193" i="2" s="1"/>
  <c r="C1196" i="2" s="1"/>
  <c r="C1199" i="2" s="1"/>
  <c r="C1202" i="2" s="1"/>
  <c r="C1205" i="2" s="1"/>
  <c r="C1208" i="2" s="1"/>
  <c r="K324" i="2"/>
  <c r="K327" i="2" s="1"/>
  <c r="K330" i="2" s="1"/>
  <c r="K333" i="2" s="1"/>
  <c r="K336" i="2" s="1"/>
  <c r="K339" i="2" s="1"/>
  <c r="K342" i="2" s="1"/>
  <c r="K345" i="2" s="1"/>
  <c r="K348" i="2" s="1"/>
  <c r="K351" i="2" s="1"/>
  <c r="K354" i="2" s="1"/>
  <c r="K368" i="2" s="1"/>
  <c r="K371" i="2" s="1"/>
  <c r="K374" i="2" s="1"/>
  <c r="K377" i="2" s="1"/>
  <c r="K380" i="2" s="1"/>
  <c r="K383" i="2" s="1"/>
  <c r="K386" i="2" s="1"/>
  <c r="K389" i="2" s="1"/>
  <c r="K392" i="2" s="1"/>
  <c r="K395" i="2" s="1"/>
  <c r="K398" i="2" s="1"/>
  <c r="K401" i="2" s="1"/>
  <c r="K415" i="2" s="1"/>
  <c r="K418" i="2" s="1"/>
  <c r="K421" i="2" s="1"/>
  <c r="K424" i="2" s="1"/>
  <c r="K427" i="2" s="1"/>
  <c r="K430" i="2" s="1"/>
  <c r="K433" i="2" s="1"/>
  <c r="K436" i="2" s="1"/>
  <c r="K439" i="2" s="1"/>
  <c r="K442" i="2" s="1"/>
  <c r="K445" i="2" s="1"/>
  <c r="K448" i="2" s="1"/>
  <c r="K462" i="2" s="1"/>
  <c r="K465" i="2" s="1"/>
  <c r="K468" i="2" s="1"/>
  <c r="K471" i="2" s="1"/>
  <c r="K474" i="2" s="1"/>
  <c r="K477" i="2" s="1"/>
  <c r="K480" i="2" s="1"/>
  <c r="K483" i="2" s="1"/>
  <c r="K486" i="2" s="1"/>
  <c r="K489" i="2" s="1"/>
  <c r="K492" i="2" s="1"/>
  <c r="K495" i="2" s="1"/>
  <c r="K509" i="2" s="1"/>
  <c r="K512" i="2" s="1"/>
  <c r="K515" i="2" s="1"/>
  <c r="K518" i="2" s="1"/>
  <c r="K521" i="2" s="1"/>
  <c r="K524" i="2" s="1"/>
  <c r="K527" i="2" s="1"/>
  <c r="K530" i="2" s="1"/>
  <c r="K533" i="2" s="1"/>
  <c r="K536" i="2" s="1"/>
  <c r="K539" i="2" s="1"/>
  <c r="K542" i="2" s="1"/>
  <c r="K556" i="2" s="1"/>
  <c r="K559" i="2" s="1"/>
  <c r="K562" i="2" s="1"/>
  <c r="K565" i="2" s="1"/>
  <c r="K568" i="2" s="1"/>
  <c r="K571" i="2" s="1"/>
  <c r="K574" i="2" s="1"/>
  <c r="K577" i="2" s="1"/>
  <c r="K580" i="2" s="1"/>
  <c r="K583" i="2" s="1"/>
  <c r="K586" i="2" s="1"/>
  <c r="K589" i="2" s="1"/>
  <c r="K603" i="2" s="1"/>
  <c r="K606" i="2" s="1"/>
  <c r="K609" i="2" s="1"/>
  <c r="K612" i="2" s="1"/>
  <c r="K615" i="2" s="1"/>
  <c r="K618" i="2" s="1"/>
  <c r="K621" i="2" s="1"/>
  <c r="K624" i="2" s="1"/>
  <c r="K627" i="2" s="1"/>
  <c r="K630" i="2" s="1"/>
  <c r="K633" i="2" s="1"/>
  <c r="K636" i="2" s="1"/>
  <c r="K650" i="2" s="1"/>
  <c r="K653" i="2" s="1"/>
  <c r="K656" i="2" s="1"/>
  <c r="K659" i="2" s="1"/>
  <c r="K662" i="2" s="1"/>
  <c r="K665" i="2" s="1"/>
  <c r="K668" i="2" s="1"/>
  <c r="K671" i="2" s="1"/>
  <c r="K674" i="2" s="1"/>
  <c r="K677" i="2" s="1"/>
  <c r="K680" i="2" s="1"/>
  <c r="K683" i="2" s="1"/>
  <c r="K697" i="2" s="1"/>
  <c r="K700" i="2" s="1"/>
  <c r="K703" i="2" s="1"/>
  <c r="K706" i="2" s="1"/>
  <c r="K709" i="2" s="1"/>
  <c r="K712" i="2" s="1"/>
  <c r="K715" i="2" s="1"/>
  <c r="K718" i="2" s="1"/>
  <c r="K721" i="2" s="1"/>
  <c r="K724" i="2" s="1"/>
  <c r="K727" i="2" s="1"/>
  <c r="K730" i="2" s="1"/>
  <c r="K744" i="2" s="1"/>
  <c r="K747" i="2" s="1"/>
  <c r="K750" i="2" s="1"/>
  <c r="K753" i="2" s="1"/>
  <c r="K756" i="2" s="1"/>
  <c r="K759" i="2" s="1"/>
  <c r="K762" i="2" s="1"/>
  <c r="K765" i="2" s="1"/>
  <c r="K768" i="2" s="1"/>
  <c r="K771" i="2" s="1"/>
  <c r="K774" i="2" s="1"/>
  <c r="K777" i="2" s="1"/>
  <c r="K791" i="2" s="1"/>
  <c r="K794" i="2" s="1"/>
  <c r="K797" i="2" s="1"/>
  <c r="K800" i="2" s="1"/>
  <c r="K803" i="2" s="1"/>
  <c r="K806" i="2" s="1"/>
  <c r="K809" i="2" s="1"/>
  <c r="K812" i="2" s="1"/>
  <c r="K815" i="2" s="1"/>
  <c r="K818" i="2" s="1"/>
  <c r="K821" i="2" s="1"/>
  <c r="K824" i="2" s="1"/>
  <c r="K838" i="2" s="1"/>
  <c r="K841" i="2" s="1"/>
  <c r="K844" i="2" s="1"/>
  <c r="K847" i="2" s="1"/>
  <c r="K850" i="2" s="1"/>
  <c r="K853" i="2" s="1"/>
  <c r="K856" i="2" s="1"/>
  <c r="K859" i="2" s="1"/>
  <c r="K862" i="2" s="1"/>
  <c r="K865" i="2" s="1"/>
  <c r="K868" i="2" s="1"/>
  <c r="K871" i="2" s="1"/>
  <c r="K885" i="2" s="1"/>
  <c r="K888" i="2" s="1"/>
  <c r="K891" i="2" s="1"/>
  <c r="K894" i="2" s="1"/>
  <c r="K897" i="2" s="1"/>
  <c r="K900" i="2" s="1"/>
  <c r="K903" i="2" s="1"/>
  <c r="K906" i="2" s="1"/>
  <c r="K909" i="2" s="1"/>
  <c r="K912" i="2" s="1"/>
  <c r="K915" i="2" s="1"/>
  <c r="K918" i="2" s="1"/>
  <c r="K932" i="2" s="1"/>
  <c r="K935" i="2" s="1"/>
  <c r="K938" i="2" s="1"/>
  <c r="K941" i="2" s="1"/>
  <c r="K944" i="2" s="1"/>
  <c r="K947" i="2" s="1"/>
  <c r="K950" i="2" s="1"/>
  <c r="K953" i="2" s="1"/>
  <c r="K956" i="2" s="1"/>
  <c r="K959" i="2" s="1"/>
  <c r="K962" i="2" s="1"/>
  <c r="K965" i="2" s="1"/>
  <c r="K979" i="2" s="1"/>
  <c r="K982" i="2" s="1"/>
  <c r="K985" i="2" s="1"/>
  <c r="K988" i="2" s="1"/>
  <c r="K991" i="2" s="1"/>
  <c r="K994" i="2" s="1"/>
  <c r="K997" i="2" s="1"/>
  <c r="K1000" i="2" s="1"/>
  <c r="K1003" i="2" s="1"/>
  <c r="K1006" i="2" s="1"/>
  <c r="K1009" i="2" s="1"/>
  <c r="K1012" i="2" s="1"/>
  <c r="K1028" i="2" s="1"/>
  <c r="K1031" i="2" s="1"/>
  <c r="K1034" i="2" s="1"/>
  <c r="K1037" i="2" s="1"/>
  <c r="K1040" i="2" s="1"/>
  <c r="K1043" i="2" s="1"/>
  <c r="K1046" i="2" s="1"/>
  <c r="K1049" i="2" s="1"/>
  <c r="K1052" i="2" s="1"/>
  <c r="K1055" i="2" s="1"/>
  <c r="K1058" i="2" s="1"/>
  <c r="K1061" i="2" s="1"/>
  <c r="K1077" i="2" s="1"/>
  <c r="K1080" i="2" s="1"/>
  <c r="K1083" i="2" s="1"/>
  <c r="K1086" i="2" s="1"/>
  <c r="K1089" i="2" s="1"/>
  <c r="K1092" i="2" s="1"/>
  <c r="K1095" i="2" s="1"/>
  <c r="K1098" i="2" s="1"/>
  <c r="K1101" i="2" s="1"/>
  <c r="K1104" i="2" s="1"/>
  <c r="K1107" i="2" s="1"/>
  <c r="K1110" i="2" s="1"/>
  <c r="K1126" i="2" s="1"/>
  <c r="K1129" i="2" s="1"/>
  <c r="K1132" i="2" s="1"/>
  <c r="K1135" i="2" s="1"/>
  <c r="K1138" i="2" s="1"/>
  <c r="K1141" i="2" s="1"/>
  <c r="K1144" i="2" s="1"/>
  <c r="K1147" i="2" s="1"/>
  <c r="K1150" i="2" s="1"/>
  <c r="K1153" i="2" s="1"/>
  <c r="K1156" i="2" s="1"/>
  <c r="K1159" i="2" s="1"/>
  <c r="K1175" i="2" s="1"/>
  <c r="K1178" i="2" s="1"/>
  <c r="K1181" i="2" s="1"/>
  <c r="K1184" i="2" s="1"/>
  <c r="K1187" i="2" s="1"/>
  <c r="K1190" i="2" s="1"/>
  <c r="K1193" i="2" s="1"/>
  <c r="K1196" i="2" s="1"/>
  <c r="K1199" i="2" s="1"/>
  <c r="K1202" i="2" s="1"/>
  <c r="K1205" i="2" s="1"/>
  <c r="K1208" i="2" s="1"/>
  <c r="F327" i="2"/>
  <c r="F330" i="2" s="1"/>
  <c r="F333" i="2" s="1"/>
  <c r="F336" i="2" s="1"/>
  <c r="F339" i="2" s="1"/>
  <c r="F342" i="2" s="1"/>
  <c r="F345" i="2" s="1"/>
  <c r="F348" i="2" s="1"/>
  <c r="F351" i="2" s="1"/>
  <c r="F354" i="2" s="1"/>
  <c r="F368" i="2" s="1"/>
  <c r="F371" i="2" s="1"/>
  <c r="F374" i="2" s="1"/>
  <c r="F377" i="2" s="1"/>
  <c r="F380" i="2" s="1"/>
  <c r="F383" i="2" s="1"/>
  <c r="F386" i="2" s="1"/>
  <c r="F389" i="2" s="1"/>
  <c r="F392" i="2" s="1"/>
  <c r="F395" i="2" s="1"/>
  <c r="F398" i="2" s="1"/>
  <c r="F401" i="2" s="1"/>
  <c r="F415" i="2" s="1"/>
  <c r="F418" i="2" s="1"/>
  <c r="F421" i="2" s="1"/>
  <c r="F424" i="2" s="1"/>
  <c r="F427" i="2" s="1"/>
  <c r="F430" i="2" s="1"/>
  <c r="F433" i="2" s="1"/>
  <c r="F436" i="2" s="1"/>
  <c r="F439" i="2" s="1"/>
  <c r="F442" i="2" s="1"/>
  <c r="F445" i="2" s="1"/>
  <c r="F448" i="2" s="1"/>
  <c r="F462" i="2" s="1"/>
  <c r="F465" i="2" s="1"/>
  <c r="F468" i="2" s="1"/>
  <c r="F471" i="2" s="1"/>
  <c r="F474" i="2" s="1"/>
  <c r="F477" i="2" s="1"/>
  <c r="F480" i="2" s="1"/>
  <c r="F483" i="2" s="1"/>
  <c r="F486" i="2" s="1"/>
  <c r="F489" i="2" s="1"/>
  <c r="F492" i="2" s="1"/>
  <c r="F495" i="2" s="1"/>
  <c r="F509" i="2" s="1"/>
  <c r="F512" i="2" s="1"/>
  <c r="F515" i="2" s="1"/>
  <c r="F518" i="2" s="1"/>
  <c r="F521" i="2" s="1"/>
  <c r="F524" i="2" s="1"/>
  <c r="F527" i="2" s="1"/>
  <c r="F530" i="2" s="1"/>
  <c r="F533" i="2" s="1"/>
  <c r="F536" i="2" s="1"/>
  <c r="F539" i="2" s="1"/>
  <c r="F542" i="2" s="1"/>
  <c r="F556" i="2" s="1"/>
  <c r="F559" i="2" s="1"/>
  <c r="F562" i="2" s="1"/>
  <c r="F565" i="2" s="1"/>
  <c r="F568" i="2" s="1"/>
  <c r="F571" i="2" s="1"/>
  <c r="F574" i="2" s="1"/>
  <c r="F577" i="2" s="1"/>
  <c r="F580" i="2" s="1"/>
  <c r="F583" i="2" s="1"/>
  <c r="F586" i="2" s="1"/>
  <c r="F589" i="2" s="1"/>
  <c r="F603" i="2" s="1"/>
  <c r="F606" i="2" s="1"/>
  <c r="F609" i="2" s="1"/>
  <c r="F612" i="2" s="1"/>
  <c r="F615" i="2" s="1"/>
  <c r="F618" i="2" s="1"/>
  <c r="F621" i="2" s="1"/>
  <c r="F624" i="2" s="1"/>
  <c r="F627" i="2" s="1"/>
  <c r="F630" i="2" s="1"/>
  <c r="F633" i="2" s="1"/>
  <c r="F636" i="2" s="1"/>
  <c r="F650" i="2" s="1"/>
  <c r="F653" i="2" s="1"/>
  <c r="F656" i="2" s="1"/>
  <c r="F659" i="2" s="1"/>
  <c r="F662" i="2" s="1"/>
  <c r="F665" i="2" s="1"/>
  <c r="F668" i="2" s="1"/>
  <c r="F671" i="2" s="1"/>
  <c r="F674" i="2" s="1"/>
  <c r="F677" i="2" s="1"/>
  <c r="F680" i="2" s="1"/>
  <c r="F683" i="2" s="1"/>
  <c r="F697" i="2" s="1"/>
  <c r="F700" i="2" s="1"/>
  <c r="F703" i="2" s="1"/>
  <c r="F706" i="2" s="1"/>
  <c r="F709" i="2" s="1"/>
  <c r="F712" i="2" s="1"/>
  <c r="F715" i="2" s="1"/>
  <c r="F718" i="2" s="1"/>
  <c r="F721" i="2" s="1"/>
  <c r="F724" i="2" s="1"/>
  <c r="F727" i="2" s="1"/>
  <c r="F730" i="2" s="1"/>
  <c r="F744" i="2" s="1"/>
  <c r="F747" i="2" s="1"/>
  <c r="F750" i="2" s="1"/>
  <c r="F753" i="2" s="1"/>
  <c r="F756" i="2" s="1"/>
  <c r="F759" i="2" s="1"/>
  <c r="F762" i="2" s="1"/>
  <c r="F765" i="2" s="1"/>
  <c r="F768" i="2" s="1"/>
  <c r="F771" i="2" s="1"/>
  <c r="F774" i="2" s="1"/>
  <c r="F777" i="2" s="1"/>
  <c r="F791" i="2" s="1"/>
  <c r="F794" i="2" s="1"/>
  <c r="F797" i="2" s="1"/>
  <c r="F800" i="2" s="1"/>
  <c r="F803" i="2" s="1"/>
  <c r="F806" i="2" s="1"/>
  <c r="F809" i="2" s="1"/>
  <c r="F812" i="2" s="1"/>
  <c r="F815" i="2" s="1"/>
  <c r="F818" i="2" s="1"/>
  <c r="F821" i="2" s="1"/>
  <c r="F824" i="2" s="1"/>
  <c r="F838" i="2" s="1"/>
  <c r="F841" i="2" s="1"/>
  <c r="F844" i="2" s="1"/>
  <c r="F847" i="2" s="1"/>
  <c r="F850" i="2" s="1"/>
  <c r="F853" i="2" s="1"/>
  <c r="F856" i="2" s="1"/>
  <c r="F859" i="2" s="1"/>
  <c r="F862" i="2" s="1"/>
  <c r="F865" i="2" s="1"/>
  <c r="F868" i="2" s="1"/>
  <c r="F871" i="2" s="1"/>
  <c r="F885" i="2" s="1"/>
  <c r="F888" i="2" s="1"/>
  <c r="F891" i="2" s="1"/>
  <c r="F894" i="2" s="1"/>
  <c r="F897" i="2" s="1"/>
  <c r="F900" i="2" s="1"/>
  <c r="F903" i="2" s="1"/>
  <c r="F906" i="2" s="1"/>
  <c r="F909" i="2" s="1"/>
  <c r="F912" i="2" s="1"/>
  <c r="F915" i="2" s="1"/>
  <c r="F918" i="2" s="1"/>
  <c r="F932" i="2" s="1"/>
  <c r="F935" i="2" s="1"/>
  <c r="F938" i="2" s="1"/>
  <c r="F941" i="2" s="1"/>
  <c r="F944" i="2" s="1"/>
  <c r="F947" i="2" s="1"/>
  <c r="F950" i="2" s="1"/>
  <c r="F953" i="2" s="1"/>
  <c r="F956" i="2" s="1"/>
  <c r="F959" i="2" s="1"/>
  <c r="F962" i="2" s="1"/>
  <c r="F965" i="2" s="1"/>
  <c r="F979" i="2" s="1"/>
  <c r="F982" i="2" s="1"/>
  <c r="F985" i="2" s="1"/>
  <c r="F988" i="2" s="1"/>
  <c r="F991" i="2" s="1"/>
  <c r="F994" i="2" s="1"/>
  <c r="F997" i="2" s="1"/>
  <c r="F1000" i="2" s="1"/>
  <c r="F1003" i="2" s="1"/>
  <c r="F1006" i="2" s="1"/>
  <c r="F1009" i="2" s="1"/>
  <c r="F1012" i="2" s="1"/>
  <c r="F1028" i="2" s="1"/>
  <c r="F1031" i="2" s="1"/>
  <c r="F1034" i="2" s="1"/>
  <c r="F1037" i="2" s="1"/>
  <c r="F1040" i="2" s="1"/>
  <c r="F1043" i="2" s="1"/>
  <c r="F1046" i="2" s="1"/>
  <c r="F1049" i="2" s="1"/>
  <c r="F1052" i="2" s="1"/>
  <c r="F1055" i="2" s="1"/>
  <c r="F1058" i="2" s="1"/>
  <c r="F1061" i="2" s="1"/>
  <c r="F1077" i="2" s="1"/>
  <c r="F1080" i="2" s="1"/>
  <c r="F1083" i="2" s="1"/>
  <c r="F1086" i="2" s="1"/>
  <c r="F1089" i="2" s="1"/>
  <c r="F1092" i="2" s="1"/>
  <c r="F1095" i="2" s="1"/>
  <c r="F1098" i="2" s="1"/>
  <c r="F1101" i="2" s="1"/>
  <c r="F1104" i="2" s="1"/>
  <c r="F1107" i="2" s="1"/>
  <c r="F1110" i="2" s="1"/>
  <c r="F1126" i="2" s="1"/>
  <c r="F1129" i="2" s="1"/>
  <c r="F1132" i="2" s="1"/>
  <c r="F1135" i="2" s="1"/>
  <c r="F1138" i="2" s="1"/>
  <c r="F1141" i="2" s="1"/>
  <c r="F1144" i="2" s="1"/>
  <c r="F1147" i="2" s="1"/>
  <c r="F1150" i="2" s="1"/>
  <c r="F1153" i="2" s="1"/>
  <c r="F1156" i="2" s="1"/>
  <c r="F1159" i="2" s="1"/>
  <c r="F1175" i="2" s="1"/>
  <c r="F1178" i="2" s="1"/>
  <c r="F1181" i="2" s="1"/>
  <c r="F1184" i="2" s="1"/>
  <c r="F1187" i="2" s="1"/>
  <c r="F1190" i="2" s="1"/>
  <c r="F1193" i="2" s="1"/>
  <c r="F1196" i="2" s="1"/>
  <c r="F1199" i="2" s="1"/>
  <c r="F1202" i="2" s="1"/>
  <c r="F1205" i="2" s="1"/>
  <c r="F1208" i="2" s="1"/>
  <c r="P321" i="2"/>
  <c r="P324" i="2" s="1"/>
  <c r="P327" i="2" s="1"/>
  <c r="P330" i="2" s="1"/>
  <c r="P333" i="2" s="1"/>
  <c r="P336" i="2" s="1"/>
  <c r="P339" i="2" s="1"/>
  <c r="P342" i="2" s="1"/>
  <c r="P345" i="2" s="1"/>
  <c r="P348" i="2" s="1"/>
  <c r="P351" i="2" s="1"/>
  <c r="P354" i="2" s="1"/>
  <c r="P368" i="2" s="1"/>
  <c r="P371" i="2" s="1"/>
  <c r="P374" i="2" s="1"/>
  <c r="P377" i="2" s="1"/>
  <c r="P380" i="2" s="1"/>
  <c r="P383" i="2" s="1"/>
  <c r="P386" i="2" s="1"/>
  <c r="P389" i="2" s="1"/>
  <c r="P392" i="2" s="1"/>
  <c r="P395" i="2" s="1"/>
  <c r="P398" i="2" s="1"/>
  <c r="P401" i="2" s="1"/>
  <c r="P415" i="2" s="1"/>
  <c r="P418" i="2" s="1"/>
  <c r="P421" i="2" s="1"/>
  <c r="P424" i="2" s="1"/>
  <c r="P427" i="2" s="1"/>
  <c r="P430" i="2" s="1"/>
  <c r="P433" i="2" s="1"/>
  <c r="P436" i="2" s="1"/>
  <c r="P439" i="2" s="1"/>
  <c r="P442" i="2" s="1"/>
  <c r="P445" i="2" s="1"/>
  <c r="P448" i="2" s="1"/>
  <c r="P462" i="2" s="1"/>
  <c r="P465" i="2" s="1"/>
  <c r="P468" i="2" s="1"/>
  <c r="P471" i="2" s="1"/>
  <c r="P474" i="2" s="1"/>
  <c r="P477" i="2" s="1"/>
  <c r="P480" i="2" s="1"/>
  <c r="P483" i="2" s="1"/>
  <c r="P486" i="2" s="1"/>
  <c r="P489" i="2" s="1"/>
  <c r="P492" i="2" s="1"/>
  <c r="P495" i="2" s="1"/>
  <c r="P509" i="2" s="1"/>
  <c r="P512" i="2" s="1"/>
  <c r="P515" i="2" s="1"/>
  <c r="P518" i="2" s="1"/>
  <c r="P521" i="2" s="1"/>
  <c r="P524" i="2" s="1"/>
  <c r="P527" i="2" s="1"/>
  <c r="P530" i="2" s="1"/>
  <c r="P533" i="2" s="1"/>
  <c r="P536" i="2" s="1"/>
  <c r="P539" i="2" s="1"/>
  <c r="P542" i="2" s="1"/>
  <c r="P556" i="2" s="1"/>
  <c r="P559" i="2" s="1"/>
  <c r="P562" i="2" s="1"/>
  <c r="P565" i="2" s="1"/>
  <c r="P568" i="2" s="1"/>
  <c r="P571" i="2" s="1"/>
  <c r="P574" i="2" s="1"/>
  <c r="P577" i="2" s="1"/>
  <c r="P580" i="2" s="1"/>
  <c r="P583" i="2" s="1"/>
  <c r="P586" i="2" s="1"/>
  <c r="P589" i="2" s="1"/>
  <c r="P603" i="2" s="1"/>
  <c r="P606" i="2" s="1"/>
  <c r="P609" i="2" s="1"/>
  <c r="P612" i="2" s="1"/>
  <c r="P615" i="2" s="1"/>
  <c r="P618" i="2" s="1"/>
  <c r="P621" i="2" s="1"/>
  <c r="P624" i="2" s="1"/>
  <c r="P627" i="2" s="1"/>
  <c r="P630" i="2" s="1"/>
  <c r="P633" i="2" s="1"/>
  <c r="P636" i="2" s="1"/>
  <c r="P650" i="2" s="1"/>
  <c r="P653" i="2" s="1"/>
  <c r="P656" i="2" s="1"/>
  <c r="P659" i="2" s="1"/>
  <c r="P662" i="2" s="1"/>
  <c r="P665" i="2" s="1"/>
  <c r="P668" i="2" s="1"/>
  <c r="P671" i="2" s="1"/>
  <c r="P674" i="2" s="1"/>
  <c r="P677" i="2" s="1"/>
  <c r="P680" i="2" s="1"/>
  <c r="P683" i="2" s="1"/>
  <c r="P697" i="2" s="1"/>
  <c r="P700" i="2" s="1"/>
  <c r="P703" i="2" s="1"/>
  <c r="P706" i="2" s="1"/>
  <c r="P709" i="2" s="1"/>
  <c r="P712" i="2" s="1"/>
  <c r="P715" i="2" s="1"/>
  <c r="P718" i="2" s="1"/>
  <c r="P721" i="2" s="1"/>
  <c r="P724" i="2" s="1"/>
  <c r="P727" i="2" s="1"/>
  <c r="P730" i="2" s="1"/>
  <c r="P744" i="2" s="1"/>
  <c r="P747" i="2" s="1"/>
  <c r="P750" i="2" s="1"/>
  <c r="P753" i="2" s="1"/>
  <c r="P756" i="2" s="1"/>
  <c r="P759" i="2" s="1"/>
  <c r="P762" i="2" s="1"/>
  <c r="P765" i="2" s="1"/>
  <c r="P768" i="2" s="1"/>
  <c r="P771" i="2" s="1"/>
  <c r="P774" i="2" s="1"/>
  <c r="P777" i="2" s="1"/>
  <c r="P791" i="2" s="1"/>
  <c r="P794" i="2" s="1"/>
  <c r="P797" i="2" s="1"/>
  <c r="P800" i="2" s="1"/>
  <c r="P803" i="2" s="1"/>
  <c r="P806" i="2" s="1"/>
  <c r="P809" i="2" s="1"/>
  <c r="P812" i="2" s="1"/>
  <c r="P815" i="2" s="1"/>
  <c r="P818" i="2" s="1"/>
  <c r="P821" i="2" s="1"/>
  <c r="P824" i="2" s="1"/>
  <c r="P838" i="2" s="1"/>
  <c r="P841" i="2" s="1"/>
  <c r="P844" i="2" s="1"/>
  <c r="P847" i="2" s="1"/>
  <c r="P850" i="2" s="1"/>
  <c r="P853" i="2" s="1"/>
  <c r="P856" i="2" s="1"/>
  <c r="P859" i="2" s="1"/>
  <c r="P862" i="2" s="1"/>
  <c r="P865" i="2" s="1"/>
  <c r="P868" i="2" s="1"/>
  <c r="P871" i="2" s="1"/>
  <c r="P885" i="2" s="1"/>
  <c r="P888" i="2" s="1"/>
  <c r="P891" i="2" s="1"/>
  <c r="P894" i="2" s="1"/>
  <c r="P897" i="2" s="1"/>
  <c r="P900" i="2" s="1"/>
  <c r="P903" i="2" s="1"/>
  <c r="P906" i="2" s="1"/>
  <c r="P909" i="2" s="1"/>
  <c r="P912" i="2" s="1"/>
  <c r="P915" i="2" s="1"/>
  <c r="P918" i="2" s="1"/>
  <c r="P932" i="2" s="1"/>
  <c r="P935" i="2" s="1"/>
  <c r="P938" i="2" s="1"/>
  <c r="P941" i="2" s="1"/>
  <c r="P944" i="2" s="1"/>
  <c r="P947" i="2" s="1"/>
  <c r="P950" i="2" s="1"/>
  <c r="P953" i="2" s="1"/>
  <c r="P956" i="2" s="1"/>
  <c r="P959" i="2" s="1"/>
  <c r="P962" i="2" s="1"/>
  <c r="P965" i="2" s="1"/>
  <c r="P979" i="2" s="1"/>
  <c r="P982" i="2" s="1"/>
  <c r="P985" i="2" s="1"/>
  <c r="P988" i="2" s="1"/>
  <c r="P991" i="2" s="1"/>
  <c r="P994" i="2" s="1"/>
  <c r="P997" i="2" s="1"/>
  <c r="P1000" i="2" s="1"/>
  <c r="P1003" i="2" s="1"/>
  <c r="P1006" i="2" s="1"/>
  <c r="P1009" i="2" s="1"/>
  <c r="P1012" i="2" s="1"/>
  <c r="P1028" i="2" s="1"/>
  <c r="P1031" i="2" s="1"/>
  <c r="P1034" i="2" s="1"/>
  <c r="P1037" i="2" s="1"/>
  <c r="P1040" i="2" s="1"/>
  <c r="P1043" i="2" s="1"/>
  <c r="P1046" i="2" s="1"/>
  <c r="P1049" i="2" s="1"/>
  <c r="P1052" i="2" s="1"/>
  <c r="P1055" i="2" s="1"/>
  <c r="P1058" i="2" s="1"/>
  <c r="P1061" i="2" s="1"/>
  <c r="P1077" i="2" s="1"/>
  <c r="P1080" i="2" s="1"/>
  <c r="P1083" i="2" s="1"/>
  <c r="P1086" i="2" s="1"/>
  <c r="P1089" i="2" s="1"/>
  <c r="P1092" i="2" s="1"/>
  <c r="P1095" i="2" s="1"/>
  <c r="P1098" i="2" s="1"/>
  <c r="P1101" i="2" s="1"/>
  <c r="P1104" i="2" s="1"/>
  <c r="P1107" i="2" s="1"/>
  <c r="P1110" i="2" s="1"/>
  <c r="P1126" i="2" s="1"/>
  <c r="P1129" i="2" s="1"/>
  <c r="P1132" i="2" s="1"/>
  <c r="P1135" i="2" s="1"/>
  <c r="P1138" i="2" s="1"/>
  <c r="P1141" i="2" s="1"/>
  <c r="P1144" i="2" s="1"/>
  <c r="P1147" i="2" s="1"/>
  <c r="P1150" i="2" s="1"/>
  <c r="P1153" i="2" s="1"/>
  <c r="P1156" i="2" s="1"/>
  <c r="P1159" i="2" s="1"/>
  <c r="P1175" i="2" s="1"/>
  <c r="P1178" i="2" s="1"/>
  <c r="P1181" i="2" s="1"/>
  <c r="P1184" i="2" s="1"/>
  <c r="P1187" i="2" s="1"/>
  <c r="P1190" i="2" s="1"/>
  <c r="P1193" i="2" s="1"/>
  <c r="P1196" i="2" s="1"/>
  <c r="P1199" i="2" s="1"/>
  <c r="P1202" i="2" s="1"/>
  <c r="P1205" i="2" s="1"/>
  <c r="P1208" i="2" s="1"/>
  <c r="R338" i="2"/>
  <c r="W338" i="2" s="1"/>
  <c r="G329" i="2"/>
  <c r="W329" i="2" s="1"/>
  <c r="L339" i="2"/>
  <c r="L342" i="2" s="1"/>
  <c r="L345" i="2" s="1"/>
  <c r="L348" i="2" s="1"/>
  <c r="L351" i="2" s="1"/>
  <c r="L354" i="2" s="1"/>
  <c r="L368" i="2" s="1"/>
  <c r="L371" i="2" s="1"/>
  <c r="L374" i="2" s="1"/>
  <c r="L377" i="2" s="1"/>
  <c r="L380" i="2" s="1"/>
  <c r="L383" i="2" s="1"/>
  <c r="L386" i="2" s="1"/>
  <c r="L389" i="2" s="1"/>
  <c r="L392" i="2" s="1"/>
  <c r="L395" i="2" s="1"/>
  <c r="L398" i="2" s="1"/>
  <c r="L401" i="2" s="1"/>
  <c r="L415" i="2" s="1"/>
  <c r="L418" i="2" s="1"/>
  <c r="L421" i="2" s="1"/>
  <c r="L424" i="2" s="1"/>
  <c r="L427" i="2" s="1"/>
  <c r="L430" i="2" s="1"/>
  <c r="L433" i="2" s="1"/>
  <c r="L436" i="2" s="1"/>
  <c r="L439" i="2" s="1"/>
  <c r="L442" i="2" s="1"/>
  <c r="L445" i="2" s="1"/>
  <c r="L448" i="2" s="1"/>
  <c r="L462" i="2" s="1"/>
  <c r="L465" i="2" s="1"/>
  <c r="L468" i="2" s="1"/>
  <c r="L471" i="2" s="1"/>
  <c r="L474" i="2" s="1"/>
  <c r="L477" i="2" s="1"/>
  <c r="L480" i="2" s="1"/>
  <c r="L483" i="2" s="1"/>
  <c r="L486" i="2" s="1"/>
  <c r="L489" i="2" s="1"/>
  <c r="L492" i="2" s="1"/>
  <c r="L495" i="2" s="1"/>
  <c r="L509" i="2" s="1"/>
  <c r="L512" i="2" s="1"/>
  <c r="L515" i="2" s="1"/>
  <c r="L518" i="2" s="1"/>
  <c r="L521" i="2" s="1"/>
  <c r="L524" i="2" s="1"/>
  <c r="L527" i="2" s="1"/>
  <c r="L530" i="2" s="1"/>
  <c r="L533" i="2" s="1"/>
  <c r="L536" i="2" s="1"/>
  <c r="L539" i="2" s="1"/>
  <c r="L542" i="2" s="1"/>
  <c r="L556" i="2" s="1"/>
  <c r="L559" i="2" s="1"/>
  <c r="L562" i="2" s="1"/>
  <c r="L565" i="2" s="1"/>
  <c r="L568" i="2" s="1"/>
  <c r="L571" i="2" s="1"/>
  <c r="L574" i="2" s="1"/>
  <c r="L577" i="2" s="1"/>
  <c r="L580" i="2" s="1"/>
  <c r="L583" i="2" s="1"/>
  <c r="L586" i="2" s="1"/>
  <c r="L589" i="2" s="1"/>
  <c r="L603" i="2" s="1"/>
  <c r="L606" i="2" s="1"/>
  <c r="L609" i="2" s="1"/>
  <c r="L612" i="2" s="1"/>
  <c r="L615" i="2" s="1"/>
  <c r="L618" i="2" s="1"/>
  <c r="L621" i="2" s="1"/>
  <c r="L624" i="2" s="1"/>
  <c r="L627" i="2" s="1"/>
  <c r="L630" i="2" s="1"/>
  <c r="L633" i="2" s="1"/>
  <c r="L636" i="2" s="1"/>
  <c r="L650" i="2" s="1"/>
  <c r="L653" i="2" s="1"/>
  <c r="L656" i="2" s="1"/>
  <c r="L659" i="2" s="1"/>
  <c r="L662" i="2" s="1"/>
  <c r="L665" i="2" s="1"/>
  <c r="L668" i="2" s="1"/>
  <c r="L671" i="2" s="1"/>
  <c r="L674" i="2" s="1"/>
  <c r="L677" i="2" s="1"/>
  <c r="L680" i="2" s="1"/>
  <c r="L683" i="2" s="1"/>
  <c r="L697" i="2" s="1"/>
  <c r="L700" i="2" s="1"/>
  <c r="L703" i="2" s="1"/>
  <c r="L706" i="2" s="1"/>
  <c r="L709" i="2" s="1"/>
  <c r="L712" i="2" s="1"/>
  <c r="L715" i="2" s="1"/>
  <c r="L718" i="2" s="1"/>
  <c r="L721" i="2" s="1"/>
  <c r="L724" i="2" s="1"/>
  <c r="L727" i="2" s="1"/>
  <c r="L730" i="2" s="1"/>
  <c r="L744" i="2" s="1"/>
  <c r="L747" i="2" s="1"/>
  <c r="L750" i="2" s="1"/>
  <c r="L753" i="2" s="1"/>
  <c r="L756" i="2" s="1"/>
  <c r="L759" i="2" s="1"/>
  <c r="L762" i="2" s="1"/>
  <c r="L765" i="2" s="1"/>
  <c r="L768" i="2" s="1"/>
  <c r="L771" i="2" s="1"/>
  <c r="L774" i="2" s="1"/>
  <c r="L777" i="2" s="1"/>
  <c r="L791" i="2" s="1"/>
  <c r="L794" i="2" s="1"/>
  <c r="L797" i="2" s="1"/>
  <c r="L800" i="2" s="1"/>
  <c r="L803" i="2" s="1"/>
  <c r="L806" i="2" s="1"/>
  <c r="L809" i="2" s="1"/>
  <c r="L812" i="2" s="1"/>
  <c r="L815" i="2" s="1"/>
  <c r="L818" i="2" s="1"/>
  <c r="L821" i="2" s="1"/>
  <c r="L824" i="2" s="1"/>
  <c r="L838" i="2" s="1"/>
  <c r="L841" i="2" s="1"/>
  <c r="L844" i="2" s="1"/>
  <c r="L847" i="2" s="1"/>
  <c r="L850" i="2" s="1"/>
  <c r="L853" i="2" s="1"/>
  <c r="L856" i="2" s="1"/>
  <c r="L859" i="2" s="1"/>
  <c r="L862" i="2" s="1"/>
  <c r="L865" i="2" s="1"/>
  <c r="L868" i="2" s="1"/>
  <c r="L871" i="2" s="1"/>
  <c r="L885" i="2" s="1"/>
  <c r="L888" i="2" s="1"/>
  <c r="L891" i="2" s="1"/>
  <c r="L894" i="2" s="1"/>
  <c r="L897" i="2" s="1"/>
  <c r="L900" i="2" s="1"/>
  <c r="L903" i="2" s="1"/>
  <c r="L906" i="2" s="1"/>
  <c r="L909" i="2" s="1"/>
  <c r="L912" i="2" s="1"/>
  <c r="L915" i="2" s="1"/>
  <c r="L918" i="2" s="1"/>
  <c r="L932" i="2" s="1"/>
  <c r="L935" i="2" s="1"/>
  <c r="L938" i="2" s="1"/>
  <c r="L941" i="2" s="1"/>
  <c r="L944" i="2" s="1"/>
  <c r="L947" i="2" s="1"/>
  <c r="L950" i="2" s="1"/>
  <c r="L953" i="2" s="1"/>
  <c r="L956" i="2" s="1"/>
  <c r="L959" i="2" s="1"/>
  <c r="L962" i="2" s="1"/>
  <c r="L965" i="2" s="1"/>
  <c r="L979" i="2" s="1"/>
  <c r="L982" i="2" s="1"/>
  <c r="L985" i="2" s="1"/>
  <c r="L988" i="2" s="1"/>
  <c r="L991" i="2" s="1"/>
  <c r="L994" i="2" s="1"/>
  <c r="L997" i="2" s="1"/>
  <c r="L1000" i="2" s="1"/>
  <c r="L1003" i="2" s="1"/>
  <c r="L1006" i="2" s="1"/>
  <c r="L1009" i="2" s="1"/>
  <c r="L1012" i="2" s="1"/>
  <c r="L1028" i="2" s="1"/>
  <c r="L1031" i="2" s="1"/>
  <c r="L1034" i="2" s="1"/>
  <c r="L1037" i="2" s="1"/>
  <c r="L1040" i="2" s="1"/>
  <c r="L1043" i="2" s="1"/>
  <c r="L1046" i="2" s="1"/>
  <c r="L1049" i="2" s="1"/>
  <c r="L1052" i="2" s="1"/>
  <c r="L1055" i="2" s="1"/>
  <c r="L1058" i="2" s="1"/>
  <c r="L1061" i="2" s="1"/>
  <c r="L1077" i="2" s="1"/>
  <c r="L1080" i="2" s="1"/>
  <c r="L1083" i="2" s="1"/>
  <c r="L1086" i="2" s="1"/>
  <c r="L1089" i="2" s="1"/>
  <c r="L1092" i="2" s="1"/>
  <c r="L1095" i="2" s="1"/>
  <c r="L1098" i="2" s="1"/>
  <c r="L1101" i="2" s="1"/>
  <c r="L1104" i="2" s="1"/>
  <c r="L1107" i="2" s="1"/>
  <c r="L1110" i="2" s="1"/>
  <c r="L1126" i="2" s="1"/>
  <c r="L1129" i="2" s="1"/>
  <c r="L1132" i="2" s="1"/>
  <c r="L1135" i="2" s="1"/>
  <c r="L1138" i="2" s="1"/>
  <c r="L1141" i="2" s="1"/>
  <c r="L1144" i="2" s="1"/>
  <c r="L1147" i="2" s="1"/>
  <c r="L1150" i="2" s="1"/>
  <c r="L1153" i="2" s="1"/>
  <c r="L1156" i="2" s="1"/>
  <c r="L1159" i="2" s="1"/>
  <c r="L1175" i="2" s="1"/>
  <c r="L1178" i="2" s="1"/>
  <c r="L1181" i="2" s="1"/>
  <c r="L1184" i="2" s="1"/>
  <c r="L1187" i="2" s="1"/>
  <c r="L1190" i="2" s="1"/>
  <c r="L1193" i="2" s="1"/>
  <c r="L1196" i="2" s="1"/>
  <c r="L1199" i="2" s="1"/>
  <c r="L1202" i="2" s="1"/>
  <c r="L1205" i="2" s="1"/>
  <c r="L1208" i="2" s="1"/>
  <c r="O327" i="2"/>
  <c r="O330" i="2" s="1"/>
  <c r="O333" i="2" s="1"/>
  <c r="O336" i="2" s="1"/>
  <c r="O339" i="2" s="1"/>
  <c r="O342" i="2" s="1"/>
  <c r="O345" i="2" s="1"/>
  <c r="O348" i="2" s="1"/>
  <c r="O351" i="2" s="1"/>
  <c r="O354" i="2" s="1"/>
  <c r="O368" i="2" s="1"/>
  <c r="O371" i="2" s="1"/>
  <c r="O374" i="2" s="1"/>
  <c r="O377" i="2" s="1"/>
  <c r="O380" i="2" s="1"/>
  <c r="O383" i="2" s="1"/>
  <c r="O386" i="2" s="1"/>
  <c r="O389" i="2" s="1"/>
  <c r="O392" i="2" s="1"/>
  <c r="O395" i="2" s="1"/>
  <c r="O398" i="2" s="1"/>
  <c r="O401" i="2" s="1"/>
  <c r="O415" i="2" s="1"/>
  <c r="O418" i="2" s="1"/>
  <c r="O421" i="2" s="1"/>
  <c r="O424" i="2" s="1"/>
  <c r="O427" i="2" s="1"/>
  <c r="O430" i="2" s="1"/>
  <c r="O433" i="2" s="1"/>
  <c r="O436" i="2" s="1"/>
  <c r="O439" i="2" s="1"/>
  <c r="O442" i="2" s="1"/>
  <c r="O445" i="2" s="1"/>
  <c r="O448" i="2" s="1"/>
  <c r="O462" i="2" s="1"/>
  <c r="O465" i="2" s="1"/>
  <c r="O468" i="2" s="1"/>
  <c r="O471" i="2" s="1"/>
  <c r="O474" i="2" s="1"/>
  <c r="O477" i="2" s="1"/>
  <c r="O480" i="2" s="1"/>
  <c r="O483" i="2" s="1"/>
  <c r="O486" i="2" s="1"/>
  <c r="O489" i="2" s="1"/>
  <c r="O492" i="2" s="1"/>
  <c r="O495" i="2" s="1"/>
  <c r="O509" i="2" s="1"/>
  <c r="O512" i="2" s="1"/>
  <c r="O515" i="2" s="1"/>
  <c r="O518" i="2" s="1"/>
  <c r="O521" i="2" s="1"/>
  <c r="O524" i="2" s="1"/>
  <c r="O527" i="2" s="1"/>
  <c r="O530" i="2" s="1"/>
  <c r="O533" i="2" s="1"/>
  <c r="O536" i="2" s="1"/>
  <c r="O539" i="2" s="1"/>
  <c r="O542" i="2" s="1"/>
  <c r="O556" i="2" s="1"/>
  <c r="O559" i="2" s="1"/>
  <c r="O562" i="2" s="1"/>
  <c r="O565" i="2" s="1"/>
  <c r="O568" i="2" s="1"/>
  <c r="O571" i="2" s="1"/>
  <c r="O574" i="2" s="1"/>
  <c r="O577" i="2" s="1"/>
  <c r="O580" i="2" s="1"/>
  <c r="O583" i="2" s="1"/>
  <c r="O586" i="2" s="1"/>
  <c r="O589" i="2" s="1"/>
  <c r="O603" i="2" s="1"/>
  <c r="O606" i="2" s="1"/>
  <c r="O609" i="2" s="1"/>
  <c r="O612" i="2" s="1"/>
  <c r="O615" i="2" s="1"/>
  <c r="O618" i="2" s="1"/>
  <c r="O621" i="2" s="1"/>
  <c r="O624" i="2" s="1"/>
  <c r="O627" i="2" s="1"/>
  <c r="O630" i="2" s="1"/>
  <c r="O633" i="2" s="1"/>
  <c r="O636" i="2" s="1"/>
  <c r="O650" i="2" s="1"/>
  <c r="O653" i="2" s="1"/>
  <c r="O656" i="2" s="1"/>
  <c r="O659" i="2" s="1"/>
  <c r="O662" i="2" s="1"/>
  <c r="O665" i="2" s="1"/>
  <c r="O668" i="2" s="1"/>
  <c r="O671" i="2" s="1"/>
  <c r="O674" i="2" s="1"/>
  <c r="O677" i="2" s="1"/>
  <c r="O680" i="2" s="1"/>
  <c r="O683" i="2" s="1"/>
  <c r="O697" i="2" s="1"/>
  <c r="O700" i="2" s="1"/>
  <c r="O703" i="2" s="1"/>
  <c r="O706" i="2" s="1"/>
  <c r="O709" i="2" s="1"/>
  <c r="O712" i="2" s="1"/>
  <c r="O715" i="2" s="1"/>
  <c r="O718" i="2" s="1"/>
  <c r="O721" i="2" s="1"/>
  <c r="O724" i="2" s="1"/>
  <c r="O727" i="2" s="1"/>
  <c r="O730" i="2" s="1"/>
  <c r="O744" i="2" s="1"/>
  <c r="O747" i="2" s="1"/>
  <c r="O750" i="2" s="1"/>
  <c r="O753" i="2" s="1"/>
  <c r="O756" i="2" s="1"/>
  <c r="O759" i="2" s="1"/>
  <c r="O762" i="2" s="1"/>
  <c r="O765" i="2" s="1"/>
  <c r="O768" i="2" s="1"/>
  <c r="O771" i="2" s="1"/>
  <c r="O774" i="2" s="1"/>
  <c r="O777" i="2" s="1"/>
  <c r="O791" i="2" s="1"/>
  <c r="O794" i="2" s="1"/>
  <c r="O797" i="2" s="1"/>
  <c r="O800" i="2" s="1"/>
  <c r="O803" i="2" s="1"/>
  <c r="O806" i="2" s="1"/>
  <c r="O809" i="2" s="1"/>
  <c r="O812" i="2" s="1"/>
  <c r="O815" i="2" s="1"/>
  <c r="O818" i="2" s="1"/>
  <c r="O821" i="2" s="1"/>
  <c r="O824" i="2" s="1"/>
  <c r="O838" i="2" s="1"/>
  <c r="O841" i="2" s="1"/>
  <c r="O844" i="2" s="1"/>
  <c r="O847" i="2" s="1"/>
  <c r="O850" i="2" s="1"/>
  <c r="O853" i="2" s="1"/>
  <c r="O856" i="2" s="1"/>
  <c r="O859" i="2" s="1"/>
  <c r="O862" i="2" s="1"/>
  <c r="O865" i="2" s="1"/>
  <c r="O868" i="2" s="1"/>
  <c r="O871" i="2" s="1"/>
  <c r="O885" i="2" s="1"/>
  <c r="O888" i="2" s="1"/>
  <c r="O891" i="2" s="1"/>
  <c r="O894" i="2" s="1"/>
  <c r="O897" i="2" s="1"/>
  <c r="O900" i="2" s="1"/>
  <c r="O903" i="2" s="1"/>
  <c r="O906" i="2" s="1"/>
  <c r="O909" i="2" s="1"/>
  <c r="O912" i="2" s="1"/>
  <c r="O915" i="2" s="1"/>
  <c r="O918" i="2" s="1"/>
  <c r="O932" i="2" s="1"/>
  <c r="O935" i="2" s="1"/>
  <c r="O938" i="2" s="1"/>
  <c r="O941" i="2" s="1"/>
  <c r="O944" i="2" s="1"/>
  <c r="O947" i="2" s="1"/>
  <c r="O950" i="2" s="1"/>
  <c r="O953" i="2" s="1"/>
  <c r="O956" i="2" s="1"/>
  <c r="O959" i="2" s="1"/>
  <c r="O962" i="2" s="1"/>
  <c r="O965" i="2" s="1"/>
  <c r="O979" i="2" s="1"/>
  <c r="O982" i="2" s="1"/>
  <c r="O985" i="2" s="1"/>
  <c r="O988" i="2" s="1"/>
  <c r="O991" i="2" s="1"/>
  <c r="O994" i="2" s="1"/>
  <c r="O997" i="2" s="1"/>
  <c r="O1000" i="2" s="1"/>
  <c r="O1003" i="2" s="1"/>
  <c r="O1006" i="2" s="1"/>
  <c r="O1009" i="2" s="1"/>
  <c r="O1012" i="2" s="1"/>
  <c r="O1028" i="2" s="1"/>
  <c r="O1031" i="2" s="1"/>
  <c r="O1034" i="2" s="1"/>
  <c r="O1037" i="2" s="1"/>
  <c r="O1040" i="2" s="1"/>
  <c r="O1043" i="2" s="1"/>
  <c r="O1046" i="2" s="1"/>
  <c r="O1049" i="2" s="1"/>
  <c r="O1052" i="2" s="1"/>
  <c r="O1055" i="2" s="1"/>
  <c r="O1058" i="2" s="1"/>
  <c r="O1061" i="2" s="1"/>
  <c r="O1077" i="2" s="1"/>
  <c r="O1080" i="2" s="1"/>
  <c r="O1083" i="2" s="1"/>
  <c r="O1086" i="2" s="1"/>
  <c r="O1089" i="2" s="1"/>
  <c r="O1092" i="2" s="1"/>
  <c r="O1095" i="2" s="1"/>
  <c r="O1098" i="2" s="1"/>
  <c r="O1101" i="2" s="1"/>
  <c r="O1104" i="2" s="1"/>
  <c r="O1107" i="2" s="1"/>
  <c r="O1110" i="2" s="1"/>
  <c r="O1126" i="2" s="1"/>
  <c r="O1129" i="2" s="1"/>
  <c r="O1132" i="2" s="1"/>
  <c r="O1135" i="2" s="1"/>
  <c r="O1138" i="2" s="1"/>
  <c r="O1141" i="2" s="1"/>
  <c r="O1144" i="2" s="1"/>
  <c r="O1147" i="2" s="1"/>
  <c r="O1150" i="2" s="1"/>
  <c r="O1153" i="2" s="1"/>
  <c r="O1156" i="2" s="1"/>
  <c r="O1159" i="2" s="1"/>
  <c r="O1175" i="2" s="1"/>
  <c r="O1178" i="2" s="1"/>
  <c r="O1181" i="2" s="1"/>
  <c r="O1184" i="2" s="1"/>
  <c r="O1187" i="2" s="1"/>
  <c r="O1190" i="2" s="1"/>
  <c r="O1193" i="2" s="1"/>
  <c r="O1196" i="2" s="1"/>
  <c r="O1199" i="2" s="1"/>
  <c r="O1202" i="2" s="1"/>
  <c r="O1205" i="2" s="1"/>
  <c r="O1208" i="2" s="1"/>
  <c r="N333" i="2"/>
  <c r="N336" i="2" s="1"/>
  <c r="N339" i="2" s="1"/>
  <c r="N342" i="2" s="1"/>
  <c r="N345" i="2" s="1"/>
  <c r="N348" i="2" s="1"/>
  <c r="N351" i="2" s="1"/>
  <c r="N354" i="2" s="1"/>
  <c r="N368" i="2" s="1"/>
  <c r="N371" i="2" s="1"/>
  <c r="N374" i="2" s="1"/>
  <c r="N377" i="2" s="1"/>
  <c r="N380" i="2" s="1"/>
  <c r="N383" i="2" s="1"/>
  <c r="N386" i="2" s="1"/>
  <c r="N389" i="2" s="1"/>
  <c r="N392" i="2" s="1"/>
  <c r="N395" i="2" s="1"/>
  <c r="N398" i="2" s="1"/>
  <c r="N401" i="2" s="1"/>
  <c r="N415" i="2" s="1"/>
  <c r="N418" i="2" s="1"/>
  <c r="N421" i="2" s="1"/>
  <c r="N424" i="2" s="1"/>
  <c r="N427" i="2" s="1"/>
  <c r="N430" i="2" s="1"/>
  <c r="N433" i="2" s="1"/>
  <c r="N436" i="2" s="1"/>
  <c r="N439" i="2" s="1"/>
  <c r="N442" i="2" s="1"/>
  <c r="N445" i="2" s="1"/>
  <c r="N448" i="2" s="1"/>
  <c r="N462" i="2" s="1"/>
  <c r="N465" i="2" s="1"/>
  <c r="N468" i="2" s="1"/>
  <c r="N471" i="2" s="1"/>
  <c r="N474" i="2" s="1"/>
  <c r="N477" i="2" s="1"/>
  <c r="N480" i="2" s="1"/>
  <c r="N483" i="2" s="1"/>
  <c r="N486" i="2" s="1"/>
  <c r="N489" i="2" s="1"/>
  <c r="N492" i="2" s="1"/>
  <c r="N495" i="2" s="1"/>
  <c r="N509" i="2" s="1"/>
  <c r="N512" i="2" s="1"/>
  <c r="N515" i="2" s="1"/>
  <c r="N518" i="2" s="1"/>
  <c r="N521" i="2" s="1"/>
  <c r="N524" i="2" s="1"/>
  <c r="N527" i="2" s="1"/>
  <c r="N530" i="2" s="1"/>
  <c r="N533" i="2" s="1"/>
  <c r="N536" i="2" s="1"/>
  <c r="N539" i="2" s="1"/>
  <c r="N542" i="2" s="1"/>
  <c r="N556" i="2" s="1"/>
  <c r="N559" i="2" s="1"/>
  <c r="N562" i="2" s="1"/>
  <c r="N565" i="2" s="1"/>
  <c r="N568" i="2" s="1"/>
  <c r="N571" i="2" s="1"/>
  <c r="N574" i="2" s="1"/>
  <c r="N577" i="2" s="1"/>
  <c r="N580" i="2" s="1"/>
  <c r="N583" i="2" s="1"/>
  <c r="N586" i="2" s="1"/>
  <c r="N589" i="2" s="1"/>
  <c r="N603" i="2" s="1"/>
  <c r="N606" i="2" s="1"/>
  <c r="N609" i="2" s="1"/>
  <c r="N612" i="2" s="1"/>
  <c r="N615" i="2" s="1"/>
  <c r="N618" i="2" s="1"/>
  <c r="N621" i="2" s="1"/>
  <c r="N624" i="2" s="1"/>
  <c r="N627" i="2" s="1"/>
  <c r="N630" i="2" s="1"/>
  <c r="N633" i="2" s="1"/>
  <c r="N636" i="2" s="1"/>
  <c r="N650" i="2" s="1"/>
  <c r="N653" i="2" s="1"/>
  <c r="N656" i="2" s="1"/>
  <c r="N659" i="2" s="1"/>
  <c r="N662" i="2" s="1"/>
  <c r="N665" i="2" s="1"/>
  <c r="N668" i="2" s="1"/>
  <c r="N671" i="2" s="1"/>
  <c r="N674" i="2" s="1"/>
  <c r="N677" i="2" s="1"/>
  <c r="N680" i="2" s="1"/>
  <c r="N683" i="2" s="1"/>
  <c r="N697" i="2" s="1"/>
  <c r="N700" i="2" s="1"/>
  <c r="N703" i="2" s="1"/>
  <c r="N706" i="2" s="1"/>
  <c r="N709" i="2" s="1"/>
  <c r="N712" i="2" s="1"/>
  <c r="N715" i="2" s="1"/>
  <c r="N718" i="2" s="1"/>
  <c r="N721" i="2" s="1"/>
  <c r="N724" i="2" s="1"/>
  <c r="N727" i="2" s="1"/>
  <c r="N730" i="2" s="1"/>
  <c r="N744" i="2" s="1"/>
  <c r="N747" i="2" s="1"/>
  <c r="N750" i="2" s="1"/>
  <c r="N753" i="2" s="1"/>
  <c r="N756" i="2" s="1"/>
  <c r="N759" i="2" s="1"/>
  <c r="N762" i="2" s="1"/>
  <c r="N765" i="2" s="1"/>
  <c r="N768" i="2" s="1"/>
  <c r="N771" i="2" s="1"/>
  <c r="N774" i="2" s="1"/>
  <c r="N777" i="2" s="1"/>
  <c r="N791" i="2" s="1"/>
  <c r="N794" i="2" s="1"/>
  <c r="N797" i="2" s="1"/>
  <c r="N800" i="2" s="1"/>
  <c r="N803" i="2" s="1"/>
  <c r="N806" i="2" s="1"/>
  <c r="N809" i="2" s="1"/>
  <c r="N812" i="2" s="1"/>
  <c r="N815" i="2" s="1"/>
  <c r="N818" i="2" s="1"/>
  <c r="N821" i="2" s="1"/>
  <c r="N824" i="2" s="1"/>
  <c r="N838" i="2" s="1"/>
  <c r="N841" i="2" s="1"/>
  <c r="N844" i="2" s="1"/>
  <c r="N847" i="2" s="1"/>
  <c r="N850" i="2" s="1"/>
  <c r="N853" i="2" s="1"/>
  <c r="N856" i="2" s="1"/>
  <c r="N859" i="2" s="1"/>
  <c r="N862" i="2" s="1"/>
  <c r="N865" i="2" s="1"/>
  <c r="N868" i="2" s="1"/>
  <c r="N871" i="2" s="1"/>
  <c r="N885" i="2" s="1"/>
  <c r="N888" i="2" s="1"/>
  <c r="N891" i="2" s="1"/>
  <c r="N894" i="2" s="1"/>
  <c r="N897" i="2" s="1"/>
  <c r="N900" i="2" s="1"/>
  <c r="N903" i="2" s="1"/>
  <c r="N906" i="2" s="1"/>
  <c r="N909" i="2" s="1"/>
  <c r="N912" i="2" s="1"/>
  <c r="N915" i="2" s="1"/>
  <c r="N918" i="2" s="1"/>
  <c r="N932" i="2" s="1"/>
  <c r="N935" i="2" s="1"/>
  <c r="N938" i="2" s="1"/>
  <c r="N941" i="2" s="1"/>
  <c r="N944" i="2" s="1"/>
  <c r="N947" i="2" s="1"/>
  <c r="N950" i="2" s="1"/>
  <c r="N953" i="2" s="1"/>
  <c r="N956" i="2" s="1"/>
  <c r="N959" i="2" s="1"/>
  <c r="N962" i="2" s="1"/>
  <c r="N965" i="2" s="1"/>
  <c r="N979" i="2" s="1"/>
  <c r="N982" i="2" s="1"/>
  <c r="N985" i="2" s="1"/>
  <c r="N988" i="2" s="1"/>
  <c r="N991" i="2" s="1"/>
  <c r="N994" i="2" s="1"/>
  <c r="N997" i="2" s="1"/>
  <c r="N1000" i="2" s="1"/>
  <c r="N1003" i="2" s="1"/>
  <c r="N1006" i="2" s="1"/>
  <c r="N1009" i="2" s="1"/>
  <c r="N1012" i="2" s="1"/>
  <c r="N1028" i="2" s="1"/>
  <c r="N1031" i="2" s="1"/>
  <c r="N1034" i="2" s="1"/>
  <c r="N1037" i="2" s="1"/>
  <c r="N1040" i="2" s="1"/>
  <c r="N1043" i="2" s="1"/>
  <c r="N1046" i="2" s="1"/>
  <c r="N1049" i="2" s="1"/>
  <c r="N1052" i="2" s="1"/>
  <c r="N1055" i="2" s="1"/>
  <c r="N1058" i="2" s="1"/>
  <c r="N1061" i="2" s="1"/>
  <c r="N1077" i="2" s="1"/>
  <c r="N1080" i="2" s="1"/>
  <c r="N1083" i="2" s="1"/>
  <c r="N1086" i="2" s="1"/>
  <c r="N1089" i="2" s="1"/>
  <c r="N1092" i="2" s="1"/>
  <c r="N1095" i="2" s="1"/>
  <c r="N1098" i="2" s="1"/>
  <c r="N1101" i="2" s="1"/>
  <c r="N1104" i="2" s="1"/>
  <c r="N1107" i="2" s="1"/>
  <c r="N1110" i="2" s="1"/>
  <c r="N1126" i="2" s="1"/>
  <c r="N1129" i="2" s="1"/>
  <c r="N1132" i="2" s="1"/>
  <c r="N1135" i="2" s="1"/>
  <c r="N1138" i="2" s="1"/>
  <c r="N1141" i="2" s="1"/>
  <c r="N1144" i="2" s="1"/>
  <c r="N1147" i="2" s="1"/>
  <c r="N1150" i="2" s="1"/>
  <c r="N1153" i="2" s="1"/>
  <c r="N1156" i="2" s="1"/>
  <c r="N1159" i="2" s="1"/>
  <c r="N1175" i="2" s="1"/>
  <c r="N1178" i="2" s="1"/>
  <c r="N1181" i="2" s="1"/>
  <c r="N1184" i="2" s="1"/>
  <c r="N1187" i="2" s="1"/>
  <c r="N1190" i="2" s="1"/>
  <c r="N1193" i="2" s="1"/>
  <c r="N1196" i="2" s="1"/>
  <c r="N1199" i="2" s="1"/>
  <c r="N1202" i="2" s="1"/>
  <c r="N1205" i="2" s="1"/>
  <c r="N1208" i="2" s="1"/>
  <c r="M330" i="2"/>
  <c r="M333" i="2" s="1"/>
  <c r="M336" i="2" s="1"/>
  <c r="M339" i="2" s="1"/>
  <c r="M342" i="2" s="1"/>
  <c r="M345" i="2" s="1"/>
  <c r="M348" i="2" s="1"/>
  <c r="M351" i="2" s="1"/>
  <c r="M354" i="2" s="1"/>
  <c r="M368" i="2" s="1"/>
  <c r="M371" i="2" s="1"/>
  <c r="M374" i="2" s="1"/>
  <c r="M377" i="2" s="1"/>
  <c r="M380" i="2" s="1"/>
  <c r="M383" i="2" s="1"/>
  <c r="M386" i="2" s="1"/>
  <c r="M389" i="2" s="1"/>
  <c r="M392" i="2" s="1"/>
  <c r="M395" i="2" s="1"/>
  <c r="M398" i="2" s="1"/>
  <c r="M401" i="2" s="1"/>
  <c r="M415" i="2" s="1"/>
  <c r="M418" i="2" s="1"/>
  <c r="M421" i="2" s="1"/>
  <c r="M424" i="2" s="1"/>
  <c r="M427" i="2" s="1"/>
  <c r="M430" i="2" s="1"/>
  <c r="M433" i="2" s="1"/>
  <c r="M436" i="2" s="1"/>
  <c r="M439" i="2" s="1"/>
  <c r="M442" i="2" s="1"/>
  <c r="M445" i="2" s="1"/>
  <c r="M448" i="2" s="1"/>
  <c r="M462" i="2" s="1"/>
  <c r="M465" i="2" s="1"/>
  <c r="M468" i="2" s="1"/>
  <c r="M471" i="2" s="1"/>
  <c r="M474" i="2" s="1"/>
  <c r="M477" i="2" s="1"/>
  <c r="M480" i="2" s="1"/>
  <c r="M483" i="2" s="1"/>
  <c r="M486" i="2" s="1"/>
  <c r="M489" i="2" s="1"/>
  <c r="M492" i="2" s="1"/>
  <c r="M495" i="2" s="1"/>
  <c r="M509" i="2" s="1"/>
  <c r="M512" i="2" s="1"/>
  <c r="M515" i="2" s="1"/>
  <c r="M518" i="2" s="1"/>
  <c r="M521" i="2" s="1"/>
  <c r="M524" i="2" s="1"/>
  <c r="M527" i="2" s="1"/>
  <c r="M530" i="2" s="1"/>
  <c r="M533" i="2" s="1"/>
  <c r="M536" i="2" s="1"/>
  <c r="M539" i="2" s="1"/>
  <c r="M542" i="2" s="1"/>
  <c r="M556" i="2" s="1"/>
  <c r="M559" i="2" s="1"/>
  <c r="M562" i="2" s="1"/>
  <c r="M565" i="2" s="1"/>
  <c r="M568" i="2" s="1"/>
  <c r="M571" i="2" s="1"/>
  <c r="M574" i="2" s="1"/>
  <c r="M577" i="2" s="1"/>
  <c r="M580" i="2" s="1"/>
  <c r="M583" i="2" s="1"/>
  <c r="M586" i="2" s="1"/>
  <c r="M589" i="2" s="1"/>
  <c r="M603" i="2" s="1"/>
  <c r="M606" i="2" s="1"/>
  <c r="M609" i="2" s="1"/>
  <c r="M612" i="2" s="1"/>
  <c r="M615" i="2" s="1"/>
  <c r="M618" i="2" s="1"/>
  <c r="M621" i="2" s="1"/>
  <c r="M624" i="2" s="1"/>
  <c r="M627" i="2" s="1"/>
  <c r="M630" i="2" s="1"/>
  <c r="M633" i="2" s="1"/>
  <c r="M636" i="2" s="1"/>
  <c r="M650" i="2" s="1"/>
  <c r="M653" i="2" s="1"/>
  <c r="M656" i="2" s="1"/>
  <c r="M659" i="2" s="1"/>
  <c r="M662" i="2" s="1"/>
  <c r="M665" i="2" s="1"/>
  <c r="M668" i="2" s="1"/>
  <c r="M671" i="2" s="1"/>
  <c r="M674" i="2" s="1"/>
  <c r="M677" i="2" s="1"/>
  <c r="M680" i="2" s="1"/>
  <c r="M683" i="2" s="1"/>
  <c r="M697" i="2" s="1"/>
  <c r="M700" i="2" s="1"/>
  <c r="M703" i="2" s="1"/>
  <c r="M706" i="2" s="1"/>
  <c r="M709" i="2" s="1"/>
  <c r="M712" i="2" s="1"/>
  <c r="M715" i="2" s="1"/>
  <c r="M718" i="2" s="1"/>
  <c r="M721" i="2" s="1"/>
  <c r="M724" i="2" s="1"/>
  <c r="M727" i="2" s="1"/>
  <c r="M730" i="2" s="1"/>
  <c r="M744" i="2" s="1"/>
  <c r="M747" i="2" s="1"/>
  <c r="M750" i="2" s="1"/>
  <c r="M753" i="2" s="1"/>
  <c r="M756" i="2" s="1"/>
  <c r="M759" i="2" s="1"/>
  <c r="M762" i="2" s="1"/>
  <c r="M765" i="2" s="1"/>
  <c r="M768" i="2" s="1"/>
  <c r="M771" i="2" s="1"/>
  <c r="M774" i="2" s="1"/>
  <c r="M777" i="2" s="1"/>
  <c r="M791" i="2" s="1"/>
  <c r="M794" i="2" s="1"/>
  <c r="M797" i="2" s="1"/>
  <c r="M800" i="2" s="1"/>
  <c r="M803" i="2" s="1"/>
  <c r="M806" i="2" s="1"/>
  <c r="M809" i="2" s="1"/>
  <c r="M812" i="2" s="1"/>
  <c r="M815" i="2" s="1"/>
  <c r="M818" i="2" s="1"/>
  <c r="M821" i="2" s="1"/>
  <c r="M824" i="2" s="1"/>
  <c r="M838" i="2" s="1"/>
  <c r="M841" i="2" s="1"/>
  <c r="M844" i="2" s="1"/>
  <c r="M847" i="2" s="1"/>
  <c r="M850" i="2" s="1"/>
  <c r="M853" i="2" s="1"/>
  <c r="M856" i="2" s="1"/>
  <c r="M859" i="2" s="1"/>
  <c r="M862" i="2" s="1"/>
  <c r="M865" i="2" s="1"/>
  <c r="M868" i="2" s="1"/>
  <c r="M871" i="2" s="1"/>
  <c r="M885" i="2" s="1"/>
  <c r="M888" i="2" s="1"/>
  <c r="M891" i="2" s="1"/>
  <c r="M894" i="2" s="1"/>
  <c r="M897" i="2" s="1"/>
  <c r="M900" i="2" s="1"/>
  <c r="M903" i="2" s="1"/>
  <c r="M906" i="2" s="1"/>
  <c r="M909" i="2" s="1"/>
  <c r="M912" i="2" s="1"/>
  <c r="M915" i="2" s="1"/>
  <c r="M918" i="2" s="1"/>
  <c r="M932" i="2" s="1"/>
  <c r="M935" i="2" s="1"/>
  <c r="M938" i="2" s="1"/>
  <c r="M941" i="2" s="1"/>
  <c r="M944" i="2" s="1"/>
  <c r="M947" i="2" s="1"/>
  <c r="M950" i="2" s="1"/>
  <c r="M953" i="2" s="1"/>
  <c r="M956" i="2" s="1"/>
  <c r="M959" i="2" s="1"/>
  <c r="M962" i="2" s="1"/>
  <c r="M965" i="2" s="1"/>
  <c r="M979" i="2" s="1"/>
  <c r="M982" i="2" s="1"/>
  <c r="M985" i="2" s="1"/>
  <c r="M988" i="2" s="1"/>
  <c r="M991" i="2" s="1"/>
  <c r="M994" i="2" s="1"/>
  <c r="M997" i="2" s="1"/>
  <c r="M1000" i="2" s="1"/>
  <c r="M1003" i="2" s="1"/>
  <c r="M1006" i="2" s="1"/>
  <c r="M1009" i="2" s="1"/>
  <c r="M1012" i="2" s="1"/>
  <c r="M1028" i="2" s="1"/>
  <c r="M1031" i="2" s="1"/>
  <c r="M1034" i="2" s="1"/>
  <c r="M1037" i="2" s="1"/>
  <c r="M1040" i="2" s="1"/>
  <c r="M1043" i="2" s="1"/>
  <c r="M1046" i="2" s="1"/>
  <c r="M1049" i="2" s="1"/>
  <c r="M1052" i="2" s="1"/>
  <c r="M1055" i="2" s="1"/>
  <c r="M1058" i="2" s="1"/>
  <c r="M1061" i="2" s="1"/>
  <c r="M1077" i="2" s="1"/>
  <c r="M1080" i="2" s="1"/>
  <c r="M1083" i="2" s="1"/>
  <c r="M1086" i="2" s="1"/>
  <c r="M1089" i="2" s="1"/>
  <c r="M1092" i="2" s="1"/>
  <c r="M1095" i="2" s="1"/>
  <c r="M1098" i="2" s="1"/>
  <c r="M1101" i="2" s="1"/>
  <c r="M1104" i="2" s="1"/>
  <c r="M1107" i="2" s="1"/>
  <c r="M1110" i="2" s="1"/>
  <c r="M1126" i="2" s="1"/>
  <c r="M1129" i="2" s="1"/>
  <c r="M1132" i="2" s="1"/>
  <c r="M1135" i="2" s="1"/>
  <c r="M1138" i="2" s="1"/>
  <c r="M1141" i="2" s="1"/>
  <c r="M1144" i="2" s="1"/>
  <c r="M1147" i="2" s="1"/>
  <c r="M1150" i="2" s="1"/>
  <c r="M1153" i="2" s="1"/>
  <c r="M1156" i="2" s="1"/>
  <c r="M1159" i="2" s="1"/>
  <c r="I339" i="2"/>
  <c r="I342" i="2" s="1"/>
  <c r="I345" i="2" s="1"/>
  <c r="I348" i="2" s="1"/>
  <c r="I351" i="2" s="1"/>
  <c r="I354" i="2" s="1"/>
  <c r="I368" i="2" s="1"/>
  <c r="I371" i="2" s="1"/>
  <c r="I374" i="2" s="1"/>
  <c r="I377" i="2" s="1"/>
  <c r="I380" i="2" s="1"/>
  <c r="I383" i="2" s="1"/>
  <c r="I386" i="2" s="1"/>
  <c r="I389" i="2" s="1"/>
  <c r="I392" i="2" s="1"/>
  <c r="I395" i="2" s="1"/>
  <c r="I398" i="2" s="1"/>
  <c r="I401" i="2" s="1"/>
  <c r="I415" i="2" s="1"/>
  <c r="I418" i="2" s="1"/>
  <c r="I421" i="2" s="1"/>
  <c r="I424" i="2" s="1"/>
  <c r="I427" i="2" s="1"/>
  <c r="I430" i="2" s="1"/>
  <c r="I433" i="2" s="1"/>
  <c r="I436" i="2" s="1"/>
  <c r="I439" i="2" s="1"/>
  <c r="I442" i="2" s="1"/>
  <c r="I445" i="2" s="1"/>
  <c r="I448" i="2" s="1"/>
  <c r="I462" i="2" s="1"/>
  <c r="I465" i="2" s="1"/>
  <c r="I468" i="2" s="1"/>
  <c r="I471" i="2" s="1"/>
  <c r="I474" i="2" s="1"/>
  <c r="I477" i="2" s="1"/>
  <c r="I480" i="2" s="1"/>
  <c r="I483" i="2" s="1"/>
  <c r="I486" i="2" s="1"/>
  <c r="I489" i="2" s="1"/>
  <c r="I492" i="2" s="1"/>
  <c r="I495" i="2" s="1"/>
  <c r="I509" i="2" s="1"/>
  <c r="I512" i="2" s="1"/>
  <c r="I515" i="2" s="1"/>
  <c r="I518" i="2" s="1"/>
  <c r="I521" i="2" s="1"/>
  <c r="I524" i="2" s="1"/>
  <c r="I527" i="2" s="1"/>
  <c r="I530" i="2" s="1"/>
  <c r="I533" i="2" s="1"/>
  <c r="I536" i="2" s="1"/>
  <c r="I539" i="2" s="1"/>
  <c r="I542" i="2" s="1"/>
  <c r="I556" i="2" s="1"/>
  <c r="I559" i="2" s="1"/>
  <c r="I562" i="2" s="1"/>
  <c r="I565" i="2" s="1"/>
  <c r="I568" i="2" s="1"/>
  <c r="I571" i="2" s="1"/>
  <c r="I574" i="2" s="1"/>
  <c r="I577" i="2" s="1"/>
  <c r="I580" i="2" s="1"/>
  <c r="I583" i="2" s="1"/>
  <c r="I586" i="2" s="1"/>
  <c r="I589" i="2" s="1"/>
  <c r="I603" i="2" s="1"/>
  <c r="I606" i="2" s="1"/>
  <c r="I609" i="2" s="1"/>
  <c r="I612" i="2" s="1"/>
  <c r="I615" i="2" s="1"/>
  <c r="I618" i="2" s="1"/>
  <c r="I621" i="2" s="1"/>
  <c r="I624" i="2" s="1"/>
  <c r="I627" i="2" s="1"/>
  <c r="I630" i="2" s="1"/>
  <c r="I633" i="2" s="1"/>
  <c r="I636" i="2" s="1"/>
  <c r="I650" i="2" s="1"/>
  <c r="I653" i="2" s="1"/>
  <c r="I656" i="2" s="1"/>
  <c r="I659" i="2" s="1"/>
  <c r="I662" i="2" s="1"/>
  <c r="I665" i="2" s="1"/>
  <c r="I668" i="2" s="1"/>
  <c r="I671" i="2" s="1"/>
  <c r="I674" i="2" s="1"/>
  <c r="I677" i="2" s="1"/>
  <c r="I680" i="2" s="1"/>
  <c r="I683" i="2" s="1"/>
  <c r="I697" i="2" s="1"/>
  <c r="I700" i="2" s="1"/>
  <c r="I703" i="2" s="1"/>
  <c r="I706" i="2" s="1"/>
  <c r="I709" i="2" s="1"/>
  <c r="I712" i="2" s="1"/>
  <c r="I715" i="2" s="1"/>
  <c r="I718" i="2" s="1"/>
  <c r="I721" i="2" s="1"/>
  <c r="I724" i="2" s="1"/>
  <c r="I727" i="2" s="1"/>
  <c r="I730" i="2" s="1"/>
  <c r="I744" i="2" s="1"/>
  <c r="I747" i="2" s="1"/>
  <c r="I750" i="2" s="1"/>
  <c r="I753" i="2" s="1"/>
  <c r="I756" i="2" s="1"/>
  <c r="I759" i="2" s="1"/>
  <c r="I762" i="2" s="1"/>
  <c r="I765" i="2" s="1"/>
  <c r="I768" i="2" s="1"/>
  <c r="I771" i="2" s="1"/>
  <c r="I774" i="2" s="1"/>
  <c r="I777" i="2" s="1"/>
  <c r="I791" i="2" s="1"/>
  <c r="I794" i="2" s="1"/>
  <c r="I797" i="2" s="1"/>
  <c r="I800" i="2" s="1"/>
  <c r="I803" i="2" s="1"/>
  <c r="I806" i="2" s="1"/>
  <c r="I809" i="2" s="1"/>
  <c r="I812" i="2" s="1"/>
  <c r="I815" i="2" s="1"/>
  <c r="I818" i="2" s="1"/>
  <c r="I821" i="2" s="1"/>
  <c r="I824" i="2" s="1"/>
  <c r="I838" i="2" s="1"/>
  <c r="I841" i="2" s="1"/>
  <c r="I844" i="2" s="1"/>
  <c r="I847" i="2" s="1"/>
  <c r="I850" i="2" s="1"/>
  <c r="I853" i="2" s="1"/>
  <c r="I856" i="2" s="1"/>
  <c r="I859" i="2" s="1"/>
  <c r="I862" i="2" s="1"/>
  <c r="I865" i="2" s="1"/>
  <c r="I868" i="2" s="1"/>
  <c r="I871" i="2" s="1"/>
  <c r="I885" i="2" s="1"/>
  <c r="I888" i="2" s="1"/>
  <c r="I891" i="2" s="1"/>
  <c r="I894" i="2" s="1"/>
  <c r="I897" i="2" s="1"/>
  <c r="I900" i="2" s="1"/>
  <c r="I903" i="2" s="1"/>
  <c r="I906" i="2" s="1"/>
  <c r="I909" i="2" s="1"/>
  <c r="I912" i="2" s="1"/>
  <c r="I915" i="2" s="1"/>
  <c r="I918" i="2" s="1"/>
  <c r="I932" i="2" s="1"/>
  <c r="I935" i="2" s="1"/>
  <c r="I938" i="2" s="1"/>
  <c r="I941" i="2" s="1"/>
  <c r="I944" i="2" s="1"/>
  <c r="I947" i="2" s="1"/>
  <c r="I950" i="2" s="1"/>
  <c r="I953" i="2" s="1"/>
  <c r="I956" i="2" s="1"/>
  <c r="I959" i="2" s="1"/>
  <c r="I962" i="2" s="1"/>
  <c r="I965" i="2" s="1"/>
  <c r="I979" i="2" s="1"/>
  <c r="I982" i="2" s="1"/>
  <c r="I985" i="2" s="1"/>
  <c r="I988" i="2" s="1"/>
  <c r="I991" i="2" s="1"/>
  <c r="I994" i="2" s="1"/>
  <c r="I997" i="2" s="1"/>
  <c r="I1000" i="2" s="1"/>
  <c r="I1003" i="2" s="1"/>
  <c r="I1006" i="2" s="1"/>
  <c r="I1009" i="2" s="1"/>
  <c r="I1012" i="2" s="1"/>
  <c r="I1028" i="2" s="1"/>
  <c r="I1031" i="2" s="1"/>
  <c r="I1034" i="2" s="1"/>
  <c r="I1037" i="2" s="1"/>
  <c r="I1040" i="2" s="1"/>
  <c r="I1043" i="2" s="1"/>
  <c r="I1046" i="2" s="1"/>
  <c r="I1049" i="2" s="1"/>
  <c r="I1052" i="2" s="1"/>
  <c r="I1055" i="2" s="1"/>
  <c r="I1058" i="2" s="1"/>
  <c r="I1061" i="2" s="1"/>
  <c r="I1077" i="2" s="1"/>
  <c r="I1080" i="2" s="1"/>
  <c r="I1083" i="2" s="1"/>
  <c r="I1086" i="2" s="1"/>
  <c r="I1089" i="2" s="1"/>
  <c r="I1092" i="2" s="1"/>
  <c r="I1095" i="2" s="1"/>
  <c r="I1098" i="2" s="1"/>
  <c r="I1101" i="2" s="1"/>
  <c r="I1104" i="2" s="1"/>
  <c r="I1107" i="2" s="1"/>
  <c r="I1110" i="2" s="1"/>
  <c r="I1126" i="2" s="1"/>
  <c r="I1129" i="2" s="1"/>
  <c r="I1132" i="2" s="1"/>
  <c r="I1135" i="2" s="1"/>
  <c r="I1138" i="2" s="1"/>
  <c r="I1141" i="2" s="1"/>
  <c r="I1144" i="2" s="1"/>
  <c r="I1147" i="2" s="1"/>
  <c r="I1150" i="2" s="1"/>
  <c r="I1153" i="2" s="1"/>
  <c r="I1156" i="2" s="1"/>
  <c r="I1159" i="2" s="1"/>
  <c r="I1175" i="2" s="1"/>
  <c r="I1178" i="2" s="1"/>
  <c r="I1181" i="2" s="1"/>
  <c r="I1184" i="2" s="1"/>
  <c r="I1187" i="2" s="1"/>
  <c r="I1190" i="2" s="1"/>
  <c r="I1193" i="2" s="1"/>
  <c r="I1196" i="2" s="1"/>
  <c r="I1199" i="2" s="1"/>
  <c r="I1202" i="2" s="1"/>
  <c r="I1205" i="2" s="1"/>
  <c r="I1208" i="2" s="1"/>
  <c r="E330" i="2"/>
  <c r="E333" i="2" s="1"/>
  <c r="E336" i="2" s="1"/>
  <c r="E339" i="2" s="1"/>
  <c r="E342" i="2" s="1"/>
  <c r="E345" i="2" s="1"/>
  <c r="E348" i="2" s="1"/>
  <c r="E351" i="2" s="1"/>
  <c r="E354" i="2" s="1"/>
  <c r="E368" i="2" s="1"/>
  <c r="E371" i="2" s="1"/>
  <c r="E374" i="2" s="1"/>
  <c r="E377" i="2" s="1"/>
  <c r="E380" i="2" s="1"/>
  <c r="E383" i="2" s="1"/>
  <c r="E386" i="2" s="1"/>
  <c r="E389" i="2" s="1"/>
  <c r="E392" i="2" s="1"/>
  <c r="E395" i="2" s="1"/>
  <c r="E398" i="2" s="1"/>
  <c r="E401" i="2" s="1"/>
  <c r="E415" i="2" s="1"/>
  <c r="E418" i="2" s="1"/>
  <c r="E421" i="2" s="1"/>
  <c r="E424" i="2" s="1"/>
  <c r="E427" i="2" s="1"/>
  <c r="E430" i="2" s="1"/>
  <c r="E433" i="2" s="1"/>
  <c r="E436" i="2" s="1"/>
  <c r="E439" i="2" s="1"/>
  <c r="E442" i="2" s="1"/>
  <c r="E445" i="2" s="1"/>
  <c r="E448" i="2" s="1"/>
  <c r="E462" i="2" s="1"/>
  <c r="E465" i="2" s="1"/>
  <c r="E468" i="2" s="1"/>
  <c r="E471" i="2" s="1"/>
  <c r="E474" i="2" s="1"/>
  <c r="E477" i="2" s="1"/>
  <c r="E480" i="2" s="1"/>
  <c r="E483" i="2" s="1"/>
  <c r="E486" i="2" s="1"/>
  <c r="E489" i="2" s="1"/>
  <c r="E492" i="2" s="1"/>
  <c r="E495" i="2" s="1"/>
  <c r="E509" i="2" s="1"/>
  <c r="E512" i="2" s="1"/>
  <c r="E515" i="2" s="1"/>
  <c r="E518" i="2" s="1"/>
  <c r="E521" i="2" s="1"/>
  <c r="E524" i="2" s="1"/>
  <c r="E527" i="2" s="1"/>
  <c r="E530" i="2" s="1"/>
  <c r="E533" i="2" s="1"/>
  <c r="E536" i="2" s="1"/>
  <c r="E539" i="2" s="1"/>
  <c r="E542" i="2" s="1"/>
  <c r="E556" i="2" s="1"/>
  <c r="E559" i="2" s="1"/>
  <c r="E562" i="2" s="1"/>
  <c r="E565" i="2" s="1"/>
  <c r="E568" i="2" s="1"/>
  <c r="E571" i="2" s="1"/>
  <c r="E574" i="2" s="1"/>
  <c r="E577" i="2" s="1"/>
  <c r="E580" i="2" s="1"/>
  <c r="E583" i="2" s="1"/>
  <c r="E586" i="2" s="1"/>
  <c r="E589" i="2" s="1"/>
  <c r="E603" i="2" s="1"/>
  <c r="E606" i="2" s="1"/>
  <c r="E609" i="2" s="1"/>
  <c r="E612" i="2" s="1"/>
  <c r="E615" i="2" s="1"/>
  <c r="E618" i="2" s="1"/>
  <c r="E621" i="2" s="1"/>
  <c r="E624" i="2" s="1"/>
  <c r="E627" i="2" s="1"/>
  <c r="E630" i="2" s="1"/>
  <c r="E633" i="2" s="1"/>
  <c r="E636" i="2" s="1"/>
  <c r="E650" i="2" s="1"/>
  <c r="E653" i="2" s="1"/>
  <c r="E656" i="2" s="1"/>
  <c r="E659" i="2" s="1"/>
  <c r="E662" i="2" s="1"/>
  <c r="E665" i="2" s="1"/>
  <c r="E668" i="2" s="1"/>
  <c r="E671" i="2" s="1"/>
  <c r="E674" i="2" s="1"/>
  <c r="E677" i="2" s="1"/>
  <c r="E680" i="2" s="1"/>
  <c r="E683" i="2" s="1"/>
  <c r="E697" i="2" s="1"/>
  <c r="E700" i="2" s="1"/>
  <c r="E703" i="2" s="1"/>
  <c r="E706" i="2" s="1"/>
  <c r="E709" i="2" s="1"/>
  <c r="E712" i="2" s="1"/>
  <c r="E715" i="2" s="1"/>
  <c r="E718" i="2" s="1"/>
  <c r="E721" i="2" s="1"/>
  <c r="E724" i="2" s="1"/>
  <c r="E727" i="2" s="1"/>
  <c r="E730" i="2" s="1"/>
  <c r="E744" i="2" s="1"/>
  <c r="E747" i="2" s="1"/>
  <c r="E750" i="2" s="1"/>
  <c r="E753" i="2" s="1"/>
  <c r="E756" i="2" s="1"/>
  <c r="E759" i="2" s="1"/>
  <c r="E762" i="2" s="1"/>
  <c r="E765" i="2" s="1"/>
  <c r="E768" i="2" s="1"/>
  <c r="E771" i="2" s="1"/>
  <c r="E774" i="2" s="1"/>
  <c r="E777" i="2" s="1"/>
  <c r="E791" i="2" s="1"/>
  <c r="E794" i="2" s="1"/>
  <c r="E797" i="2" s="1"/>
  <c r="E800" i="2" s="1"/>
  <c r="E803" i="2" s="1"/>
  <c r="E806" i="2" s="1"/>
  <c r="E809" i="2" s="1"/>
  <c r="E812" i="2" s="1"/>
  <c r="E815" i="2" s="1"/>
  <c r="E818" i="2" s="1"/>
  <c r="E821" i="2" s="1"/>
  <c r="E824" i="2" s="1"/>
  <c r="E838" i="2" s="1"/>
  <c r="E841" i="2" s="1"/>
  <c r="E844" i="2" s="1"/>
  <c r="E847" i="2" s="1"/>
  <c r="E850" i="2" s="1"/>
  <c r="E853" i="2" s="1"/>
  <c r="E856" i="2" s="1"/>
  <c r="E859" i="2" s="1"/>
  <c r="E862" i="2" s="1"/>
  <c r="E865" i="2" s="1"/>
  <c r="E868" i="2" s="1"/>
  <c r="E871" i="2" s="1"/>
  <c r="E885" i="2" s="1"/>
  <c r="E888" i="2" s="1"/>
  <c r="E891" i="2" s="1"/>
  <c r="E894" i="2" s="1"/>
  <c r="E897" i="2" s="1"/>
  <c r="E900" i="2" s="1"/>
  <c r="E903" i="2" s="1"/>
  <c r="E906" i="2" s="1"/>
  <c r="E909" i="2" s="1"/>
  <c r="E912" i="2" s="1"/>
  <c r="E915" i="2" s="1"/>
  <c r="E918" i="2" s="1"/>
  <c r="E932" i="2" s="1"/>
  <c r="E935" i="2" s="1"/>
  <c r="E938" i="2" s="1"/>
  <c r="E941" i="2" s="1"/>
  <c r="E944" i="2" s="1"/>
  <c r="E947" i="2" s="1"/>
  <c r="E950" i="2" s="1"/>
  <c r="E953" i="2" s="1"/>
  <c r="E956" i="2" s="1"/>
  <c r="E959" i="2" s="1"/>
  <c r="E962" i="2" s="1"/>
  <c r="E965" i="2" s="1"/>
  <c r="E979" i="2" s="1"/>
  <c r="E982" i="2" s="1"/>
  <c r="E985" i="2" s="1"/>
  <c r="E988" i="2" s="1"/>
  <c r="E991" i="2" s="1"/>
  <c r="E994" i="2" s="1"/>
  <c r="E997" i="2" s="1"/>
  <c r="E1000" i="2" s="1"/>
  <c r="E1003" i="2" s="1"/>
  <c r="E1006" i="2" s="1"/>
  <c r="E1009" i="2" s="1"/>
  <c r="E1012" i="2" s="1"/>
  <c r="E1028" i="2" s="1"/>
  <c r="E1031" i="2" s="1"/>
  <c r="E1034" i="2" s="1"/>
  <c r="E1037" i="2" s="1"/>
  <c r="E1040" i="2" s="1"/>
  <c r="E1043" i="2" s="1"/>
  <c r="E1046" i="2" s="1"/>
  <c r="E1049" i="2" s="1"/>
  <c r="E1052" i="2" s="1"/>
  <c r="E1055" i="2" s="1"/>
  <c r="E1058" i="2" s="1"/>
  <c r="E1061" i="2" s="1"/>
  <c r="E1077" i="2" s="1"/>
  <c r="E1080" i="2" s="1"/>
  <c r="E1083" i="2" s="1"/>
  <c r="E1086" i="2" s="1"/>
  <c r="E1089" i="2" s="1"/>
  <c r="E1092" i="2" s="1"/>
  <c r="E1095" i="2" s="1"/>
  <c r="E1098" i="2" s="1"/>
  <c r="E1101" i="2" s="1"/>
  <c r="E1104" i="2" s="1"/>
  <c r="E1107" i="2" s="1"/>
  <c r="E1110" i="2" s="1"/>
  <c r="E1126" i="2" s="1"/>
  <c r="E1129" i="2" s="1"/>
  <c r="E1132" i="2" s="1"/>
  <c r="E1135" i="2" s="1"/>
  <c r="E1138" i="2" s="1"/>
  <c r="E1141" i="2" s="1"/>
  <c r="E1144" i="2" s="1"/>
  <c r="E1147" i="2" s="1"/>
  <c r="E1150" i="2" s="1"/>
  <c r="E1153" i="2" s="1"/>
  <c r="E1156" i="2" s="1"/>
  <c r="E1159" i="2" s="1"/>
  <c r="E1175" i="2" s="1"/>
  <c r="E1178" i="2" s="1"/>
  <c r="E1181" i="2" s="1"/>
  <c r="E1184" i="2" s="1"/>
  <c r="E1187" i="2" s="1"/>
  <c r="E1190" i="2" s="1"/>
  <c r="E1193" i="2" s="1"/>
  <c r="E1196" i="2" s="1"/>
  <c r="E1199" i="2" s="1"/>
  <c r="E1202" i="2" s="1"/>
  <c r="E1205" i="2" s="1"/>
  <c r="E1208" i="2" s="1"/>
  <c r="G123" i="2"/>
  <c r="G126" i="2" s="1"/>
  <c r="G129" i="2" s="1"/>
  <c r="G132" i="2" s="1"/>
  <c r="G135" i="2" s="1"/>
  <c r="G138" i="2" s="1"/>
  <c r="G141" i="2" s="1"/>
  <c r="G144" i="2" s="1"/>
  <c r="G147" i="2" s="1"/>
  <c r="G150" i="2" s="1"/>
  <c r="G165" i="2" s="1"/>
  <c r="G168" i="2" s="1"/>
  <c r="G171" i="2" s="1"/>
  <c r="G174" i="2" s="1"/>
  <c r="G177" i="2" s="1"/>
  <c r="G180" i="2" s="1"/>
  <c r="G183" i="2" s="1"/>
  <c r="G186" i="2" s="1"/>
  <c r="G189" i="2" s="1"/>
  <c r="G192" i="2" s="1"/>
  <c r="G195" i="2" s="1"/>
  <c r="G198" i="2" s="1"/>
  <c r="G216" i="2" s="1"/>
  <c r="G219" i="2" s="1"/>
  <c r="G222" i="2" s="1"/>
  <c r="G225" i="2" s="1"/>
  <c r="G228" i="2" s="1"/>
  <c r="G231" i="2" s="1"/>
  <c r="G234" i="2" s="1"/>
  <c r="G237" i="2" s="1"/>
  <c r="G240" i="2" s="1"/>
  <c r="G243" i="2" s="1"/>
  <c r="G246" i="2" s="1"/>
  <c r="G249" i="2" s="1"/>
  <c r="G270" i="2" s="1"/>
  <c r="G273" i="2" s="1"/>
  <c r="G276" i="2" s="1"/>
  <c r="G279" i="2" s="1"/>
  <c r="G282" i="2" s="1"/>
  <c r="G285" i="2" s="1"/>
  <c r="D324" i="2"/>
  <c r="D327" i="2" s="1"/>
  <c r="D330" i="2" s="1"/>
  <c r="D333" i="2" s="1"/>
  <c r="D336" i="2" s="1"/>
  <c r="D339" i="2" s="1"/>
  <c r="D342" i="2" s="1"/>
  <c r="D345" i="2" s="1"/>
  <c r="D348" i="2" s="1"/>
  <c r="D351" i="2" s="1"/>
  <c r="D354" i="2" s="1"/>
  <c r="D368" i="2" s="1"/>
  <c r="D371" i="2" s="1"/>
  <c r="D374" i="2" s="1"/>
  <c r="D377" i="2" s="1"/>
  <c r="D380" i="2" s="1"/>
  <c r="D383" i="2" s="1"/>
  <c r="D386" i="2" s="1"/>
  <c r="D389" i="2" s="1"/>
  <c r="D392" i="2" s="1"/>
  <c r="D395" i="2" s="1"/>
  <c r="D398" i="2" s="1"/>
  <c r="D401" i="2" s="1"/>
  <c r="D415" i="2" s="1"/>
  <c r="D418" i="2" s="1"/>
  <c r="D421" i="2" s="1"/>
  <c r="D424" i="2" s="1"/>
  <c r="D427" i="2" s="1"/>
  <c r="D430" i="2" s="1"/>
  <c r="D433" i="2" s="1"/>
  <c r="D436" i="2" s="1"/>
  <c r="D439" i="2" s="1"/>
  <c r="D442" i="2" s="1"/>
  <c r="D445" i="2" s="1"/>
  <c r="D448" i="2" s="1"/>
  <c r="D462" i="2" s="1"/>
  <c r="D465" i="2" s="1"/>
  <c r="D468" i="2" s="1"/>
  <c r="D471" i="2" s="1"/>
  <c r="D474" i="2" s="1"/>
  <c r="D477" i="2" s="1"/>
  <c r="D480" i="2" s="1"/>
  <c r="D483" i="2" s="1"/>
  <c r="D486" i="2" s="1"/>
  <c r="D489" i="2" s="1"/>
  <c r="D492" i="2" s="1"/>
  <c r="D495" i="2" s="1"/>
  <c r="D509" i="2" s="1"/>
  <c r="D512" i="2" s="1"/>
  <c r="D515" i="2" s="1"/>
  <c r="D518" i="2" s="1"/>
  <c r="D521" i="2" s="1"/>
  <c r="D524" i="2" s="1"/>
  <c r="D527" i="2" s="1"/>
  <c r="D530" i="2" s="1"/>
  <c r="D533" i="2" s="1"/>
  <c r="D536" i="2" s="1"/>
  <c r="D539" i="2" s="1"/>
  <c r="D542" i="2" s="1"/>
  <c r="D556" i="2" s="1"/>
  <c r="D559" i="2" s="1"/>
  <c r="D562" i="2" s="1"/>
  <c r="D565" i="2" s="1"/>
  <c r="D568" i="2" s="1"/>
  <c r="D571" i="2" s="1"/>
  <c r="D574" i="2" s="1"/>
  <c r="D577" i="2" s="1"/>
  <c r="D580" i="2" s="1"/>
  <c r="D583" i="2" s="1"/>
  <c r="D586" i="2" s="1"/>
  <c r="D589" i="2" s="1"/>
  <c r="D603" i="2" s="1"/>
  <c r="D606" i="2" s="1"/>
  <c r="D609" i="2" s="1"/>
  <c r="D612" i="2" s="1"/>
  <c r="D615" i="2" s="1"/>
  <c r="D618" i="2" s="1"/>
  <c r="D621" i="2" s="1"/>
  <c r="D624" i="2" s="1"/>
  <c r="D627" i="2" s="1"/>
  <c r="D630" i="2" s="1"/>
  <c r="D633" i="2" s="1"/>
  <c r="D636" i="2" s="1"/>
  <c r="D650" i="2" s="1"/>
  <c r="D653" i="2" s="1"/>
  <c r="D656" i="2" s="1"/>
  <c r="D659" i="2" s="1"/>
  <c r="D662" i="2" s="1"/>
  <c r="D665" i="2" s="1"/>
  <c r="D668" i="2" s="1"/>
  <c r="D671" i="2" s="1"/>
  <c r="D674" i="2" s="1"/>
  <c r="D677" i="2" s="1"/>
  <c r="D680" i="2" s="1"/>
  <c r="D683" i="2" s="1"/>
  <c r="D697" i="2" s="1"/>
  <c r="D700" i="2" s="1"/>
  <c r="D703" i="2" s="1"/>
  <c r="D706" i="2" s="1"/>
  <c r="D709" i="2" s="1"/>
  <c r="D712" i="2" s="1"/>
  <c r="D715" i="2" s="1"/>
  <c r="D718" i="2" s="1"/>
  <c r="D721" i="2" s="1"/>
  <c r="D724" i="2" s="1"/>
  <c r="D727" i="2" s="1"/>
  <c r="D730" i="2" s="1"/>
  <c r="D744" i="2" s="1"/>
  <c r="D747" i="2" s="1"/>
  <c r="D750" i="2" s="1"/>
  <c r="D753" i="2" s="1"/>
  <c r="D756" i="2" s="1"/>
  <c r="D759" i="2" s="1"/>
  <c r="D762" i="2" s="1"/>
  <c r="D765" i="2" s="1"/>
  <c r="D768" i="2" s="1"/>
  <c r="D771" i="2" s="1"/>
  <c r="D774" i="2" s="1"/>
  <c r="D777" i="2" s="1"/>
  <c r="D791" i="2" s="1"/>
  <c r="D794" i="2" s="1"/>
  <c r="D797" i="2" s="1"/>
  <c r="D800" i="2" s="1"/>
  <c r="D803" i="2" s="1"/>
  <c r="D806" i="2" s="1"/>
  <c r="D809" i="2" s="1"/>
  <c r="D812" i="2" s="1"/>
  <c r="D815" i="2" s="1"/>
  <c r="D818" i="2" s="1"/>
  <c r="D821" i="2" s="1"/>
  <c r="D824" i="2" s="1"/>
  <c r="D838" i="2" s="1"/>
  <c r="D841" i="2" s="1"/>
  <c r="D844" i="2" s="1"/>
  <c r="D847" i="2" s="1"/>
  <c r="D850" i="2" s="1"/>
  <c r="D853" i="2" s="1"/>
  <c r="D856" i="2" s="1"/>
  <c r="D859" i="2" s="1"/>
  <c r="D862" i="2" s="1"/>
  <c r="D865" i="2" s="1"/>
  <c r="D868" i="2" s="1"/>
  <c r="D871" i="2" s="1"/>
  <c r="D885" i="2" s="1"/>
  <c r="D888" i="2" s="1"/>
  <c r="D891" i="2" s="1"/>
  <c r="D894" i="2" s="1"/>
  <c r="D897" i="2" s="1"/>
  <c r="D900" i="2" s="1"/>
  <c r="D903" i="2" s="1"/>
  <c r="D906" i="2" s="1"/>
  <c r="D909" i="2" s="1"/>
  <c r="D912" i="2" s="1"/>
  <c r="D915" i="2" s="1"/>
  <c r="D918" i="2" s="1"/>
  <c r="D932" i="2" s="1"/>
  <c r="D935" i="2" s="1"/>
  <c r="D938" i="2" s="1"/>
  <c r="D941" i="2" s="1"/>
  <c r="D944" i="2" s="1"/>
  <c r="D947" i="2" s="1"/>
  <c r="D950" i="2" s="1"/>
  <c r="D953" i="2" s="1"/>
  <c r="D956" i="2" s="1"/>
  <c r="D959" i="2" s="1"/>
  <c r="D962" i="2" s="1"/>
  <c r="D965" i="2" s="1"/>
  <c r="D979" i="2" s="1"/>
  <c r="D982" i="2" s="1"/>
  <c r="D985" i="2" s="1"/>
  <c r="D988" i="2" s="1"/>
  <c r="D991" i="2" s="1"/>
  <c r="D994" i="2" s="1"/>
  <c r="D997" i="2" s="1"/>
  <c r="D1000" i="2" s="1"/>
  <c r="D1003" i="2" s="1"/>
  <c r="D1006" i="2" s="1"/>
  <c r="D1009" i="2" s="1"/>
  <c r="D1012" i="2" s="1"/>
  <c r="D1028" i="2" s="1"/>
  <c r="D1031" i="2" s="1"/>
  <c r="D1034" i="2" s="1"/>
  <c r="D1037" i="2" s="1"/>
  <c r="D1040" i="2" s="1"/>
  <c r="D1043" i="2" s="1"/>
  <c r="D1046" i="2" s="1"/>
  <c r="D1049" i="2" s="1"/>
  <c r="D1052" i="2" s="1"/>
  <c r="D1055" i="2" s="1"/>
  <c r="D1058" i="2" s="1"/>
  <c r="D1061" i="2" s="1"/>
  <c r="D1077" i="2" s="1"/>
  <c r="D1080" i="2" s="1"/>
  <c r="D1083" i="2" s="1"/>
  <c r="D1086" i="2" s="1"/>
  <c r="D1089" i="2" s="1"/>
  <c r="D1092" i="2" s="1"/>
  <c r="D1095" i="2" s="1"/>
  <c r="D1098" i="2" s="1"/>
  <c r="D1101" i="2" s="1"/>
  <c r="D1104" i="2" s="1"/>
  <c r="D1107" i="2" s="1"/>
  <c r="D1110" i="2" s="1"/>
  <c r="D1126" i="2" s="1"/>
  <c r="D1129" i="2" s="1"/>
  <c r="D1132" i="2" s="1"/>
  <c r="D1135" i="2" s="1"/>
  <c r="D1138" i="2" s="1"/>
  <c r="D1141" i="2" s="1"/>
  <c r="D1144" i="2" s="1"/>
  <c r="D1147" i="2" s="1"/>
  <c r="D1150" i="2" s="1"/>
  <c r="D1153" i="2" s="1"/>
  <c r="D1156" i="2" s="1"/>
  <c r="D1159" i="2" s="1"/>
  <c r="D1175" i="2" s="1"/>
  <c r="D1178" i="2" s="1"/>
  <c r="D1181" i="2" s="1"/>
  <c r="D1184" i="2" s="1"/>
  <c r="D1187" i="2" s="1"/>
  <c r="D1190" i="2" s="1"/>
  <c r="D1193" i="2" s="1"/>
  <c r="D1196" i="2" s="1"/>
  <c r="D1199" i="2" s="1"/>
  <c r="D1202" i="2" s="1"/>
  <c r="D1205" i="2" s="1"/>
  <c r="D1208" i="2" s="1"/>
  <c r="S10" i="2"/>
  <c r="Q11" i="2"/>
  <c r="Q14" i="2" s="1"/>
  <c r="Q17" i="2" s="1"/>
  <c r="Q20" i="2" s="1"/>
  <c r="Q23" i="2" s="1"/>
  <c r="Q26" i="2" s="1"/>
  <c r="Q29" i="2" s="1"/>
  <c r="Q32" i="2" s="1"/>
  <c r="Q35" i="2" s="1"/>
  <c r="Q38" i="2" s="1"/>
  <c r="Q41" i="2" s="1"/>
  <c r="Q44" i="2" s="1"/>
  <c r="S38" i="17"/>
  <c r="S41" i="17" s="1"/>
  <c r="P38" i="17"/>
  <c r="P41" i="17" s="1"/>
  <c r="H38" i="17"/>
  <c r="H41" i="17" s="1"/>
  <c r="B38" i="17"/>
  <c r="B41" i="17" s="1"/>
  <c r="Q37" i="17"/>
  <c r="G34" i="4"/>
  <c r="D38" i="17"/>
  <c r="D41" i="17" s="1"/>
  <c r="G38" i="17"/>
  <c r="G41" i="17" s="1"/>
  <c r="L35" i="4"/>
  <c r="L38" i="4" s="1"/>
  <c r="L41" i="4" s="1"/>
  <c r="I38" i="17"/>
  <c r="I41" i="17" s="1"/>
  <c r="G697" i="1"/>
  <c r="W697" i="1" s="1"/>
  <c r="T35" i="4"/>
  <c r="T38" i="4" s="1"/>
  <c r="T41" i="4" s="1"/>
  <c r="G31" i="4"/>
  <c r="G32" i="4" s="1"/>
  <c r="G35" i="4" s="1"/>
  <c r="G38" i="4" s="1"/>
  <c r="G41" i="4" s="1"/>
  <c r="Q34" i="4"/>
  <c r="Q40" i="17"/>
  <c r="Q34" i="17"/>
  <c r="Q35" i="17" s="1"/>
  <c r="E35" i="4"/>
  <c r="E38" i="4" s="1"/>
  <c r="E41" i="4" s="1"/>
  <c r="C35" i="4"/>
  <c r="C38" i="4" s="1"/>
  <c r="C41" i="4" s="1"/>
  <c r="W1106" i="2"/>
  <c r="Z1106" i="2" s="1"/>
  <c r="E38" i="17"/>
  <c r="E41" i="17" s="1"/>
  <c r="E701" i="1"/>
  <c r="E704" i="1" s="1"/>
  <c r="E707" i="1" s="1"/>
  <c r="E710" i="1" s="1"/>
  <c r="E713" i="1" s="1"/>
  <c r="E716" i="1" s="1"/>
  <c r="E719" i="1" s="1"/>
  <c r="E722" i="1" s="1"/>
  <c r="E725" i="1" s="1"/>
  <c r="E728" i="1" s="1"/>
  <c r="E731" i="1" s="1"/>
  <c r="E746" i="1" s="1"/>
  <c r="E749" i="1" s="1"/>
  <c r="E752" i="1" s="1"/>
  <c r="E755" i="1" s="1"/>
  <c r="E758" i="1" s="1"/>
  <c r="E761" i="1" s="1"/>
  <c r="E764" i="1" s="1"/>
  <c r="E767" i="1" s="1"/>
  <c r="E770" i="1" s="1"/>
  <c r="E773" i="1" s="1"/>
  <c r="E776" i="1" s="1"/>
  <c r="E779" i="1" s="1"/>
  <c r="E794" i="1" s="1"/>
  <c r="E797" i="1" s="1"/>
  <c r="E800" i="1" s="1"/>
  <c r="E803" i="1" s="1"/>
  <c r="E806" i="1" s="1"/>
  <c r="E809" i="1" s="1"/>
  <c r="E812" i="1" s="1"/>
  <c r="E815" i="1" s="1"/>
  <c r="E818" i="1" s="1"/>
  <c r="E821" i="1" s="1"/>
  <c r="E824" i="1" s="1"/>
  <c r="E827" i="1" s="1"/>
  <c r="E842" i="1" s="1"/>
  <c r="E845" i="1" s="1"/>
  <c r="E848" i="1" s="1"/>
  <c r="E851" i="1" s="1"/>
  <c r="E854" i="1" s="1"/>
  <c r="E857" i="1" s="1"/>
  <c r="E860" i="1" s="1"/>
  <c r="E863" i="1" s="1"/>
  <c r="E866" i="1" s="1"/>
  <c r="E869" i="1" s="1"/>
  <c r="E872" i="1" s="1"/>
  <c r="E875" i="1" s="1"/>
  <c r="E890" i="1" s="1"/>
  <c r="E893" i="1" s="1"/>
  <c r="E896" i="1" s="1"/>
  <c r="E899" i="1" s="1"/>
  <c r="E902" i="1" s="1"/>
  <c r="E905" i="1" s="1"/>
  <c r="E908" i="1" s="1"/>
  <c r="E911" i="1" s="1"/>
  <c r="E914" i="1" s="1"/>
  <c r="E917" i="1" s="1"/>
  <c r="E920" i="1" s="1"/>
  <c r="E923" i="1" s="1"/>
  <c r="E938" i="1" s="1"/>
  <c r="E941" i="1" s="1"/>
  <c r="E944" i="1" s="1"/>
  <c r="E947" i="1" s="1"/>
  <c r="E950" i="1" s="1"/>
  <c r="E953" i="1" s="1"/>
  <c r="E956" i="1" s="1"/>
  <c r="E959" i="1" s="1"/>
  <c r="E962" i="1" s="1"/>
  <c r="E965" i="1" s="1"/>
  <c r="E968" i="1" s="1"/>
  <c r="E971" i="1" s="1"/>
  <c r="E986" i="1" s="1"/>
  <c r="E989" i="1" s="1"/>
  <c r="E992" i="1" s="1"/>
  <c r="E995" i="1" s="1"/>
  <c r="E998" i="1" s="1"/>
  <c r="E1001" i="1" s="1"/>
  <c r="E1004" i="1" s="1"/>
  <c r="E1007" i="1" s="1"/>
  <c r="Q32" i="4"/>
  <c r="C38" i="17"/>
  <c r="C41" i="17" s="1"/>
  <c r="R38" i="17"/>
  <c r="R41" i="17" s="1"/>
  <c r="P35" i="4"/>
  <c r="P38" i="4" s="1"/>
  <c r="P41" i="4" s="1"/>
  <c r="O38" i="17"/>
  <c r="O41" i="17" s="1"/>
  <c r="M38" i="17"/>
  <c r="M41" i="17" s="1"/>
  <c r="K38" i="17"/>
  <c r="K41" i="17" s="1"/>
  <c r="J38" i="17"/>
  <c r="J41" i="17" s="1"/>
  <c r="F38" i="17"/>
  <c r="F41" i="17" s="1"/>
  <c r="F701" i="1"/>
  <c r="F704" i="1" s="1"/>
  <c r="F707" i="1" s="1"/>
  <c r="F710" i="1" s="1"/>
  <c r="F713" i="1" s="1"/>
  <c r="F716" i="1" s="1"/>
  <c r="F719" i="1" s="1"/>
  <c r="F722" i="1" s="1"/>
  <c r="F725" i="1" s="1"/>
  <c r="F728" i="1" s="1"/>
  <c r="F731" i="1" s="1"/>
  <c r="F746" i="1" s="1"/>
  <c r="F749" i="1" s="1"/>
  <c r="F752" i="1" s="1"/>
  <c r="F755" i="1" s="1"/>
  <c r="F758" i="1" s="1"/>
  <c r="F761" i="1" s="1"/>
  <c r="F764" i="1" s="1"/>
  <c r="F767" i="1" s="1"/>
  <c r="F770" i="1" s="1"/>
  <c r="F773" i="1" s="1"/>
  <c r="F776" i="1" s="1"/>
  <c r="F779" i="1" s="1"/>
  <c r="F794" i="1" s="1"/>
  <c r="F797" i="1" s="1"/>
  <c r="F800" i="1" s="1"/>
  <c r="F803" i="1" s="1"/>
  <c r="F806" i="1" s="1"/>
  <c r="F809" i="1" s="1"/>
  <c r="F812" i="1" s="1"/>
  <c r="F815" i="1" s="1"/>
  <c r="F818" i="1" s="1"/>
  <c r="F821" i="1" s="1"/>
  <c r="F824" i="1" s="1"/>
  <c r="F827" i="1" s="1"/>
  <c r="F842" i="1" s="1"/>
  <c r="F845" i="1" s="1"/>
  <c r="F848" i="1" s="1"/>
  <c r="F851" i="1" s="1"/>
  <c r="F854" i="1" s="1"/>
  <c r="F857" i="1" s="1"/>
  <c r="F860" i="1" s="1"/>
  <c r="F863" i="1" s="1"/>
  <c r="F866" i="1" s="1"/>
  <c r="F869" i="1" s="1"/>
  <c r="F872" i="1" s="1"/>
  <c r="F875" i="1" s="1"/>
  <c r="F890" i="1" s="1"/>
  <c r="F893" i="1" s="1"/>
  <c r="F896" i="1" s="1"/>
  <c r="F899" i="1" s="1"/>
  <c r="F902" i="1" s="1"/>
  <c r="F905" i="1" s="1"/>
  <c r="F908" i="1" s="1"/>
  <c r="F911" i="1" s="1"/>
  <c r="F914" i="1" s="1"/>
  <c r="F917" i="1" s="1"/>
  <c r="F920" i="1" s="1"/>
  <c r="F923" i="1" s="1"/>
  <c r="F938" i="1" s="1"/>
  <c r="F941" i="1" s="1"/>
  <c r="F944" i="1" s="1"/>
  <c r="F947" i="1" s="1"/>
  <c r="F950" i="1" s="1"/>
  <c r="F953" i="1" s="1"/>
  <c r="F956" i="1" s="1"/>
  <c r="F959" i="1" s="1"/>
  <c r="F962" i="1" s="1"/>
  <c r="F965" i="1" s="1"/>
  <c r="F968" i="1" s="1"/>
  <c r="F971" i="1" s="1"/>
  <c r="F986" i="1" s="1"/>
  <c r="F989" i="1" s="1"/>
  <c r="F992" i="1" s="1"/>
  <c r="F995" i="1" s="1"/>
  <c r="F998" i="1" s="1"/>
  <c r="F1001" i="1" s="1"/>
  <c r="F1004" i="1" s="1"/>
  <c r="F1007" i="1" s="1"/>
  <c r="F1010" i="1" s="1"/>
  <c r="F1013" i="1" s="1"/>
  <c r="F1016" i="1" s="1"/>
  <c r="F1019" i="1" s="1"/>
  <c r="F1034" i="1" s="1"/>
  <c r="F1037" i="1" s="1"/>
  <c r="F1040" i="1" s="1"/>
  <c r="F1043" i="1" s="1"/>
  <c r="F1046" i="1" s="1"/>
  <c r="F1049" i="1" s="1"/>
  <c r="F1052" i="1" s="1"/>
  <c r="F1055" i="1" s="1"/>
  <c r="F1058" i="1" s="1"/>
  <c r="F1061" i="1" s="1"/>
  <c r="F1064" i="1" s="1"/>
  <c r="F1067" i="1" s="1"/>
  <c r="F1082" i="1" s="1"/>
  <c r="F1085" i="1" s="1"/>
  <c r="F1088" i="1" s="1"/>
  <c r="F1091" i="1" s="1"/>
  <c r="F1094" i="1" s="1"/>
  <c r="F1097" i="1" s="1"/>
  <c r="F1100" i="1" s="1"/>
  <c r="F1103" i="1" s="1"/>
  <c r="F1106" i="1" s="1"/>
  <c r="F1109" i="1" s="1"/>
  <c r="F1112" i="1" s="1"/>
  <c r="F1115" i="1" s="1"/>
  <c r="M35" i="4"/>
  <c r="M38" i="4" s="1"/>
  <c r="M41" i="4" s="1"/>
  <c r="K35" i="4"/>
  <c r="K38" i="4" s="1"/>
  <c r="K41" i="4" s="1"/>
  <c r="V41" i="17"/>
  <c r="T38" i="17"/>
  <c r="T41" i="17" s="1"/>
  <c r="N38" i="17"/>
  <c r="N41" i="17" s="1"/>
  <c r="D701" i="1"/>
  <c r="D704" i="1" s="1"/>
  <c r="D707" i="1" s="1"/>
  <c r="D710" i="1" s="1"/>
  <c r="D713" i="1" s="1"/>
  <c r="D716" i="1" s="1"/>
  <c r="D719" i="1" s="1"/>
  <c r="D722" i="1" s="1"/>
  <c r="D725" i="1" s="1"/>
  <c r="D728" i="1" s="1"/>
  <c r="D731" i="1" s="1"/>
  <c r="D746" i="1" s="1"/>
  <c r="D749" i="1" s="1"/>
  <c r="D752" i="1" s="1"/>
  <c r="D755" i="1" s="1"/>
  <c r="D758" i="1" s="1"/>
  <c r="D761" i="1" s="1"/>
  <c r="D764" i="1" s="1"/>
  <c r="D767" i="1" s="1"/>
  <c r="D770" i="1" s="1"/>
  <c r="D773" i="1" s="1"/>
  <c r="D776" i="1" s="1"/>
  <c r="D779" i="1" s="1"/>
  <c r="D794" i="1" s="1"/>
  <c r="D797" i="1" s="1"/>
  <c r="D800" i="1" s="1"/>
  <c r="D803" i="1" s="1"/>
  <c r="D806" i="1" s="1"/>
  <c r="D809" i="1" s="1"/>
  <c r="D812" i="1" s="1"/>
  <c r="D815" i="1" s="1"/>
  <c r="D818" i="1" s="1"/>
  <c r="D821" i="1" s="1"/>
  <c r="D824" i="1" s="1"/>
  <c r="D827" i="1" s="1"/>
  <c r="D842" i="1" s="1"/>
  <c r="D845" i="1" s="1"/>
  <c r="D848" i="1" s="1"/>
  <c r="D851" i="1" s="1"/>
  <c r="D854" i="1" s="1"/>
  <c r="D857" i="1" s="1"/>
  <c r="D860" i="1" s="1"/>
  <c r="D863" i="1" s="1"/>
  <c r="D866" i="1" s="1"/>
  <c r="D869" i="1" s="1"/>
  <c r="D872" i="1" s="1"/>
  <c r="D875" i="1" s="1"/>
  <c r="D890" i="1" s="1"/>
  <c r="D893" i="1" s="1"/>
  <c r="D896" i="1" s="1"/>
  <c r="D899" i="1" s="1"/>
  <c r="D902" i="1" s="1"/>
  <c r="D905" i="1" s="1"/>
  <c r="D908" i="1" s="1"/>
  <c r="D911" i="1" s="1"/>
  <c r="D914" i="1" s="1"/>
  <c r="D917" i="1" s="1"/>
  <c r="D920" i="1" s="1"/>
  <c r="D923" i="1" s="1"/>
  <c r="D938" i="1" s="1"/>
  <c r="D941" i="1" s="1"/>
  <c r="D944" i="1" s="1"/>
  <c r="D947" i="1" s="1"/>
  <c r="D950" i="1" s="1"/>
  <c r="D953" i="1" s="1"/>
  <c r="D956" i="1" s="1"/>
  <c r="D959" i="1" s="1"/>
  <c r="D962" i="1" s="1"/>
  <c r="D965" i="1" s="1"/>
  <c r="D968" i="1" s="1"/>
  <c r="D971" i="1" s="1"/>
  <c r="D986" i="1" s="1"/>
  <c r="D989" i="1" s="1"/>
  <c r="D992" i="1" s="1"/>
  <c r="D995" i="1" s="1"/>
  <c r="D998" i="1" s="1"/>
  <c r="D1001" i="1" s="1"/>
  <c r="D1004" i="1" s="1"/>
  <c r="D1007" i="1" s="1"/>
  <c r="D1010" i="1" s="1"/>
  <c r="D1013" i="1" s="1"/>
  <c r="D1016" i="1" s="1"/>
  <c r="D1019" i="1" s="1"/>
  <c r="D1034" i="1" s="1"/>
  <c r="D1037" i="1" s="1"/>
  <c r="D1040" i="1" s="1"/>
  <c r="D1043" i="1" s="1"/>
  <c r="D1046" i="1" s="1"/>
  <c r="D1049" i="1" s="1"/>
  <c r="D1052" i="1" s="1"/>
  <c r="D1055" i="1" s="1"/>
  <c r="D1058" i="1" s="1"/>
  <c r="D1061" i="1" s="1"/>
  <c r="D1064" i="1" s="1"/>
  <c r="D1067" i="1" s="1"/>
  <c r="D1082" i="1" s="1"/>
  <c r="D1085" i="1" s="1"/>
  <c r="D1088" i="1" s="1"/>
  <c r="D1091" i="1" s="1"/>
  <c r="D1094" i="1" s="1"/>
  <c r="D1097" i="1" s="1"/>
  <c r="D1100" i="1" s="1"/>
  <c r="D1103" i="1" s="1"/>
  <c r="D1106" i="1" s="1"/>
  <c r="D1109" i="1" s="1"/>
  <c r="D1112" i="1" s="1"/>
  <c r="D1115" i="1" s="1"/>
  <c r="H35" i="4"/>
  <c r="H38" i="4" s="1"/>
  <c r="H41" i="4" s="1"/>
  <c r="U35" i="4"/>
  <c r="U38" i="4" s="1"/>
  <c r="U41" i="4" s="1"/>
  <c r="N35" i="4"/>
  <c r="N38" i="4" s="1"/>
  <c r="N41" i="4" s="1"/>
  <c r="M1022" i="1"/>
  <c r="L1022" i="1"/>
  <c r="W1097" i="2"/>
  <c r="W11" i="4" l="1"/>
  <c r="W14" i="4" s="1"/>
  <c r="W17" i="4" s="1"/>
  <c r="W20" i="4" s="1"/>
  <c r="W23" i="4" s="1"/>
  <c r="Z619" i="1"/>
  <c r="W34" i="4"/>
  <c r="I1082" i="1"/>
  <c r="I1085" i="1" s="1"/>
  <c r="I1088" i="1" s="1"/>
  <c r="I1091" i="1" s="1"/>
  <c r="I1094" i="1" s="1"/>
  <c r="I1097" i="1" s="1"/>
  <c r="I1100" i="1" s="1"/>
  <c r="I1103" i="1" s="1"/>
  <c r="I1106" i="1" s="1"/>
  <c r="I1109" i="1" s="1"/>
  <c r="I1112" i="1" s="1"/>
  <c r="I1115" i="1" s="1"/>
  <c r="L1070" i="1"/>
  <c r="W321" i="2"/>
  <c r="W324" i="2" s="1"/>
  <c r="W327" i="2" s="1"/>
  <c r="X14" i="4"/>
  <c r="X17" i="4" s="1"/>
  <c r="X20" i="4" s="1"/>
  <c r="X23" i="4" s="1"/>
  <c r="X26" i="4" s="1"/>
  <c r="X29" i="4" s="1"/>
  <c r="X62" i="1"/>
  <c r="X65" i="1" s="1"/>
  <c r="X68" i="1" s="1"/>
  <c r="X71" i="1" s="1"/>
  <c r="X74" i="1" s="1"/>
  <c r="X77" i="1" s="1"/>
  <c r="X80" i="1" s="1"/>
  <c r="X83" i="1" s="1"/>
  <c r="X86" i="1" s="1"/>
  <c r="X89" i="1" s="1"/>
  <c r="X92" i="1" s="1"/>
  <c r="X95" i="1" s="1"/>
  <c r="X111" i="1" s="1"/>
  <c r="X114" i="1" s="1"/>
  <c r="X117" i="1" s="1"/>
  <c r="X120" i="1" s="1"/>
  <c r="X123" i="1" s="1"/>
  <c r="X126" i="1" s="1"/>
  <c r="X129" i="1" s="1"/>
  <c r="X132" i="1" s="1"/>
  <c r="X135" i="1" s="1"/>
  <c r="X138" i="1" s="1"/>
  <c r="X141" i="1" s="1"/>
  <c r="X144" i="1" s="1"/>
  <c r="X161" i="1" s="1"/>
  <c r="X164" i="1" s="1"/>
  <c r="X167" i="1" s="1"/>
  <c r="X170" i="1" s="1"/>
  <c r="X173" i="1" s="1"/>
  <c r="X176" i="1" s="1"/>
  <c r="X179" i="1" s="1"/>
  <c r="X182" i="1" s="1"/>
  <c r="X185" i="1" s="1"/>
  <c r="X188" i="1" s="1"/>
  <c r="X191" i="1" s="1"/>
  <c r="X194" i="1" s="1"/>
  <c r="X211" i="1" s="1"/>
  <c r="X214" i="1" s="1"/>
  <c r="X217" i="1" s="1"/>
  <c r="X220" i="1" s="1"/>
  <c r="X223" i="1" s="1"/>
  <c r="X226" i="1" s="1"/>
  <c r="X229" i="1" s="1"/>
  <c r="X232" i="1" s="1"/>
  <c r="X235" i="1" s="1"/>
  <c r="X238" i="1" s="1"/>
  <c r="X241" i="1" s="1"/>
  <c r="X244" i="1" s="1"/>
  <c r="X261" i="1" s="1"/>
  <c r="X264" i="1" s="1"/>
  <c r="X267" i="1" s="1"/>
  <c r="X270" i="1" s="1"/>
  <c r="X273" i="1" s="1"/>
  <c r="X276" i="1" s="1"/>
  <c r="X279" i="1" s="1"/>
  <c r="X282" i="1" s="1"/>
  <c r="X285" i="1" s="1"/>
  <c r="X288" i="1" s="1"/>
  <c r="X291" i="1" s="1"/>
  <c r="X294" i="1" s="1"/>
  <c r="X311" i="1" s="1"/>
  <c r="X314" i="1" s="1"/>
  <c r="X317" i="1" s="1"/>
  <c r="X320" i="1" s="1"/>
  <c r="X323" i="1" s="1"/>
  <c r="X326" i="1" s="1"/>
  <c r="X329" i="1" s="1"/>
  <c r="X332" i="1" s="1"/>
  <c r="X335" i="1" s="1"/>
  <c r="X338" i="1" s="1"/>
  <c r="X341" i="1" s="1"/>
  <c r="X344" i="1" s="1"/>
  <c r="X362" i="1" s="1"/>
  <c r="X365" i="1" s="1"/>
  <c r="X368" i="1" s="1"/>
  <c r="X371" i="1" s="1"/>
  <c r="X374" i="1" s="1"/>
  <c r="X377" i="1" s="1"/>
  <c r="X380" i="1" s="1"/>
  <c r="X383" i="1" s="1"/>
  <c r="X386" i="1" s="1"/>
  <c r="X389" i="1" s="1"/>
  <c r="X392" i="1" s="1"/>
  <c r="X395" i="1" s="1"/>
  <c r="X410" i="1" s="1"/>
  <c r="X413" i="1" s="1"/>
  <c r="X416" i="1" s="1"/>
  <c r="X419" i="1" s="1"/>
  <c r="X422" i="1" s="1"/>
  <c r="X425" i="1" s="1"/>
  <c r="X428" i="1" s="1"/>
  <c r="X431" i="1" s="1"/>
  <c r="X434" i="1" s="1"/>
  <c r="X437" i="1" s="1"/>
  <c r="X440" i="1" s="1"/>
  <c r="X443" i="1" s="1"/>
  <c r="X458" i="1" s="1"/>
  <c r="X461" i="1" s="1"/>
  <c r="X464" i="1" s="1"/>
  <c r="X467" i="1" s="1"/>
  <c r="X470" i="1" s="1"/>
  <c r="X473" i="1" s="1"/>
  <c r="X476" i="1" s="1"/>
  <c r="X479" i="1" s="1"/>
  <c r="X482" i="1" s="1"/>
  <c r="X485" i="1" s="1"/>
  <c r="X488" i="1" s="1"/>
  <c r="X491" i="1" s="1"/>
  <c r="X506" i="1" s="1"/>
  <c r="X509" i="1" s="1"/>
  <c r="X512" i="1" s="1"/>
  <c r="X515" i="1" s="1"/>
  <c r="X518" i="1" s="1"/>
  <c r="X521" i="1" s="1"/>
  <c r="X524" i="1" s="1"/>
  <c r="X527" i="1" s="1"/>
  <c r="X530" i="1" s="1"/>
  <c r="X533" i="1" s="1"/>
  <c r="X536" i="1" s="1"/>
  <c r="X539" i="1" s="1"/>
  <c r="X554" i="1" s="1"/>
  <c r="X557" i="1" s="1"/>
  <c r="X560" i="1" s="1"/>
  <c r="X563" i="1" s="1"/>
  <c r="X566" i="1" s="1"/>
  <c r="X569" i="1" s="1"/>
  <c r="X572" i="1" s="1"/>
  <c r="X575" i="1" s="1"/>
  <c r="X578" i="1" s="1"/>
  <c r="X581" i="1" s="1"/>
  <c r="X584" i="1" s="1"/>
  <c r="X587" i="1" s="1"/>
  <c r="X602" i="1" s="1"/>
  <c r="X605" i="1" s="1"/>
  <c r="X608" i="1" s="1"/>
  <c r="X611" i="1" s="1"/>
  <c r="X614" i="1" s="1"/>
  <c r="X617" i="1" s="1"/>
  <c r="X620" i="1" s="1"/>
  <c r="X623" i="1" s="1"/>
  <c r="X626" i="1" s="1"/>
  <c r="X629" i="1" s="1"/>
  <c r="X632" i="1" s="1"/>
  <c r="X635" i="1" s="1"/>
  <c r="X650" i="1" s="1"/>
  <c r="X653" i="1" s="1"/>
  <c r="X656" i="1" s="1"/>
  <c r="X659" i="1" s="1"/>
  <c r="X662" i="1" s="1"/>
  <c r="X665" i="1" s="1"/>
  <c r="X668" i="1" s="1"/>
  <c r="X671" i="1" s="1"/>
  <c r="X674" i="1" s="1"/>
  <c r="X677" i="1" s="1"/>
  <c r="X680" i="1" s="1"/>
  <c r="X683" i="1" s="1"/>
  <c r="X698" i="1" s="1"/>
  <c r="X701" i="1" s="1"/>
  <c r="X704" i="1" s="1"/>
  <c r="X707" i="1" s="1"/>
  <c r="X710" i="1" s="1"/>
  <c r="X713" i="1" s="1"/>
  <c r="X716" i="1" s="1"/>
  <c r="X719" i="1" s="1"/>
  <c r="X722" i="1" s="1"/>
  <c r="X725" i="1" s="1"/>
  <c r="X728" i="1" s="1"/>
  <c r="X731" i="1" s="1"/>
  <c r="X746" i="1" s="1"/>
  <c r="X749" i="1" s="1"/>
  <c r="X752" i="1" s="1"/>
  <c r="X755" i="1" s="1"/>
  <c r="X758" i="1" s="1"/>
  <c r="X761" i="1" s="1"/>
  <c r="X764" i="1" s="1"/>
  <c r="X767" i="1" s="1"/>
  <c r="X770" i="1" s="1"/>
  <c r="X773" i="1" s="1"/>
  <c r="X776" i="1" s="1"/>
  <c r="X779" i="1" s="1"/>
  <c r="X794" i="1" s="1"/>
  <c r="X797" i="1" s="1"/>
  <c r="X800" i="1" s="1"/>
  <c r="X803" i="1" s="1"/>
  <c r="X806" i="1" s="1"/>
  <c r="X809" i="1" s="1"/>
  <c r="X812" i="1" s="1"/>
  <c r="X815" i="1" s="1"/>
  <c r="X818" i="1" s="1"/>
  <c r="X821" i="1" s="1"/>
  <c r="X824" i="1" s="1"/>
  <c r="X827" i="1" s="1"/>
  <c r="X842" i="1" s="1"/>
  <c r="X845" i="1" s="1"/>
  <c r="X848" i="1" s="1"/>
  <c r="X851" i="1" s="1"/>
  <c r="X854" i="1" s="1"/>
  <c r="X857" i="1" s="1"/>
  <c r="X860" i="1" s="1"/>
  <c r="X863" i="1" s="1"/>
  <c r="X866" i="1" s="1"/>
  <c r="X869" i="1" s="1"/>
  <c r="X872" i="1" s="1"/>
  <c r="X875" i="1" s="1"/>
  <c r="X890" i="1" s="1"/>
  <c r="X893" i="1" s="1"/>
  <c r="X896" i="1" s="1"/>
  <c r="X899" i="1" s="1"/>
  <c r="X902" i="1" s="1"/>
  <c r="X905" i="1" s="1"/>
  <c r="X908" i="1" s="1"/>
  <c r="X911" i="1" s="1"/>
  <c r="X914" i="1" s="1"/>
  <c r="X917" i="1" s="1"/>
  <c r="X920" i="1" s="1"/>
  <c r="X923" i="1" s="1"/>
  <c r="X938" i="1" s="1"/>
  <c r="X941" i="1" s="1"/>
  <c r="X944" i="1" s="1"/>
  <c r="X947" i="1" s="1"/>
  <c r="X950" i="1" s="1"/>
  <c r="X953" i="1" s="1"/>
  <c r="X956" i="1" s="1"/>
  <c r="X959" i="1" s="1"/>
  <c r="X962" i="1" s="1"/>
  <c r="X965" i="1" s="1"/>
  <c r="X968" i="1" s="1"/>
  <c r="X971" i="1" s="1"/>
  <c r="X986" i="1" s="1"/>
  <c r="X989" i="1" s="1"/>
  <c r="X992" i="1" s="1"/>
  <c r="X995" i="1" s="1"/>
  <c r="X998" i="1" s="1"/>
  <c r="X1001" i="1" s="1"/>
  <c r="X1004" i="1" s="1"/>
  <c r="X1007" i="1" s="1"/>
  <c r="X1010" i="1" s="1"/>
  <c r="X1013" i="1" s="1"/>
  <c r="X1016" i="1" s="1"/>
  <c r="X1019" i="1" s="1"/>
  <c r="X1034" i="1" s="1"/>
  <c r="X1037" i="1" s="1"/>
  <c r="X1040" i="1" s="1"/>
  <c r="X1043" i="1" s="1"/>
  <c r="X1046" i="1" s="1"/>
  <c r="X1049" i="1" s="1"/>
  <c r="X1052" i="1" s="1"/>
  <c r="X1055" i="1" s="1"/>
  <c r="X1058" i="1" s="1"/>
  <c r="X1061" i="1" s="1"/>
  <c r="X1064" i="1" s="1"/>
  <c r="X1067" i="1" s="1"/>
  <c r="X1082" i="1" s="1"/>
  <c r="X1085" i="1" s="1"/>
  <c r="X1088" i="1" s="1"/>
  <c r="X1091" i="1" s="1"/>
  <c r="X1094" i="1" s="1"/>
  <c r="X1097" i="1" s="1"/>
  <c r="X1100" i="1" s="1"/>
  <c r="X1103" i="1" s="1"/>
  <c r="X1106" i="1" s="1"/>
  <c r="X1109" i="1" s="1"/>
  <c r="X1112" i="1" s="1"/>
  <c r="X1115" i="1" s="1"/>
  <c r="AB634" i="1"/>
  <c r="W639" i="1"/>
  <c r="X639" i="1" s="1"/>
  <c r="W341" i="2"/>
  <c r="R279" i="1"/>
  <c r="R282" i="1" s="1"/>
  <c r="R285" i="1" s="1"/>
  <c r="R288" i="1" s="1"/>
  <c r="R291" i="1" s="1"/>
  <c r="R294" i="1" s="1"/>
  <c r="R311" i="1" s="1"/>
  <c r="R314" i="1" s="1"/>
  <c r="R317" i="1" s="1"/>
  <c r="R320" i="1" s="1"/>
  <c r="R323" i="1" s="1"/>
  <c r="R326" i="1" s="1"/>
  <c r="I9" i="3"/>
  <c r="W591" i="1"/>
  <c r="AC36" i="1"/>
  <c r="AA39" i="1"/>
  <c r="L1082" i="1"/>
  <c r="L1085" i="1" s="1"/>
  <c r="L1088" i="1" s="1"/>
  <c r="L1091" i="1" s="1"/>
  <c r="L1094" i="1" s="1"/>
  <c r="L1097" i="1" s="1"/>
  <c r="L1100" i="1" s="1"/>
  <c r="L1103" i="1" s="1"/>
  <c r="L1106" i="1" s="1"/>
  <c r="L1109" i="1" s="1"/>
  <c r="L1112" i="1" s="1"/>
  <c r="L1115" i="1" s="1"/>
  <c r="M1070" i="1"/>
  <c r="Q38" i="17"/>
  <c r="Q179" i="1"/>
  <c r="Q182" i="1" s="1"/>
  <c r="Q185" i="1" s="1"/>
  <c r="Q188" i="1" s="1"/>
  <c r="Q191" i="1" s="1"/>
  <c r="Q194" i="1" s="1"/>
  <c r="Q211" i="1" s="1"/>
  <c r="Q214" i="1" s="1"/>
  <c r="Q217" i="1" s="1"/>
  <c r="Q220" i="1" s="1"/>
  <c r="Q223" i="1" s="1"/>
  <c r="Q226" i="1" s="1"/>
  <c r="F7" i="3"/>
  <c r="N1161" i="2"/>
  <c r="M1175" i="2"/>
  <c r="M1178" i="2" s="1"/>
  <c r="M1181" i="2" s="1"/>
  <c r="M1184" i="2" s="1"/>
  <c r="M1187" i="2" s="1"/>
  <c r="M1190" i="2" s="1"/>
  <c r="M1193" i="2" s="1"/>
  <c r="M1196" i="2" s="1"/>
  <c r="M1199" i="2" s="1"/>
  <c r="M1202" i="2" s="1"/>
  <c r="M1205" i="2" s="1"/>
  <c r="M1208" i="2" s="1"/>
  <c r="W36" i="1"/>
  <c r="W39" i="1" s="1"/>
  <c r="W42" i="1" s="1"/>
  <c r="W45" i="1" s="1"/>
  <c r="W62" i="1" s="1"/>
  <c r="W65" i="1" s="1"/>
  <c r="W68" i="1" s="1"/>
  <c r="W71" i="1" s="1"/>
  <c r="W74" i="1" s="1"/>
  <c r="W77" i="1" s="1"/>
  <c r="W80" i="1" s="1"/>
  <c r="W83" i="1" s="1"/>
  <c r="W86" i="1" s="1"/>
  <c r="W89" i="1" s="1"/>
  <c r="W92" i="1" s="1"/>
  <c r="W95" i="1" s="1"/>
  <c r="W111" i="1" s="1"/>
  <c r="W114" i="1" s="1"/>
  <c r="W117" i="1" s="1"/>
  <c r="W120" i="1" s="1"/>
  <c r="W123" i="1" s="1"/>
  <c r="W126" i="1" s="1"/>
  <c r="W129" i="1" s="1"/>
  <c r="W132" i="1" s="1"/>
  <c r="W135" i="1" s="1"/>
  <c r="W138" i="1" s="1"/>
  <c r="W141" i="1" s="1"/>
  <c r="W144" i="1" s="1"/>
  <c r="W161" i="1" s="1"/>
  <c r="W164" i="1" s="1"/>
  <c r="W167" i="1" s="1"/>
  <c r="W170" i="1" s="1"/>
  <c r="W173" i="1" s="1"/>
  <c r="W176" i="1" s="1"/>
  <c r="W179" i="1" s="1"/>
  <c r="W182" i="1" s="1"/>
  <c r="W185" i="1" s="1"/>
  <c r="W188" i="1" s="1"/>
  <c r="W191" i="1" s="1"/>
  <c r="W194" i="1" s="1"/>
  <c r="W211" i="1" s="1"/>
  <c r="W214" i="1" s="1"/>
  <c r="W217" i="1" s="1"/>
  <c r="W220" i="1" s="1"/>
  <c r="W223" i="1" s="1"/>
  <c r="W226" i="1" s="1"/>
  <c r="W229" i="1" s="1"/>
  <c r="W232" i="1" s="1"/>
  <c r="W235" i="1" s="1"/>
  <c r="W238" i="1" s="1"/>
  <c r="W241" i="1" s="1"/>
  <c r="W244" i="1" s="1"/>
  <c r="W261" i="1" s="1"/>
  <c r="W264" i="1" s="1"/>
  <c r="W267" i="1" s="1"/>
  <c r="W270" i="1" s="1"/>
  <c r="W273" i="1" s="1"/>
  <c r="W276" i="1" s="1"/>
  <c r="W279" i="1" s="1"/>
  <c r="W282" i="1" s="1"/>
  <c r="W285" i="1" s="1"/>
  <c r="W288" i="1" s="1"/>
  <c r="W291" i="1" s="1"/>
  <c r="W294" i="1" s="1"/>
  <c r="W311" i="1" s="1"/>
  <c r="W314" i="1" s="1"/>
  <c r="W317" i="1" s="1"/>
  <c r="W320" i="1" s="1"/>
  <c r="W323" i="1" s="1"/>
  <c r="W326" i="1" s="1"/>
  <c r="W329" i="1" s="1"/>
  <c r="W332" i="1" s="1"/>
  <c r="W335" i="1" s="1"/>
  <c r="W338" i="1" s="1"/>
  <c r="W341" i="1" s="1"/>
  <c r="W344" i="1" s="1"/>
  <c r="W362" i="1" s="1"/>
  <c r="W365" i="1" s="1"/>
  <c r="W368" i="1" s="1"/>
  <c r="W371" i="1" s="1"/>
  <c r="W374" i="1" s="1"/>
  <c r="W377" i="1" s="1"/>
  <c r="W380" i="1" s="1"/>
  <c r="W383" i="1" s="1"/>
  <c r="W386" i="1" s="1"/>
  <c r="W389" i="1" s="1"/>
  <c r="W392" i="1" s="1"/>
  <c r="W395" i="1" s="1"/>
  <c r="W410" i="1" s="1"/>
  <c r="W413" i="1" s="1"/>
  <c r="W416" i="1" s="1"/>
  <c r="W419" i="1" s="1"/>
  <c r="W422" i="1" s="1"/>
  <c r="W425" i="1" s="1"/>
  <c r="W428" i="1" s="1"/>
  <c r="W431" i="1" s="1"/>
  <c r="W434" i="1" s="1"/>
  <c r="W437" i="1" s="1"/>
  <c r="W440" i="1" s="1"/>
  <c r="W443" i="1" s="1"/>
  <c r="W458" i="1" s="1"/>
  <c r="W461" i="1" s="1"/>
  <c r="W464" i="1" s="1"/>
  <c r="W467" i="1" s="1"/>
  <c r="W470" i="1" s="1"/>
  <c r="W473" i="1" s="1"/>
  <c r="W476" i="1" s="1"/>
  <c r="W479" i="1" s="1"/>
  <c r="W482" i="1" s="1"/>
  <c r="W485" i="1" s="1"/>
  <c r="W488" i="1" s="1"/>
  <c r="W491" i="1" s="1"/>
  <c r="W506" i="1" s="1"/>
  <c r="W509" i="1" s="1"/>
  <c r="W512" i="1" s="1"/>
  <c r="W515" i="1" s="1"/>
  <c r="W518" i="1" s="1"/>
  <c r="W521" i="1" s="1"/>
  <c r="W524" i="1" s="1"/>
  <c r="W527" i="1" s="1"/>
  <c r="W530" i="1" s="1"/>
  <c r="W533" i="1" s="1"/>
  <c r="W536" i="1" s="1"/>
  <c r="W539" i="1" s="1"/>
  <c r="W554" i="1" s="1"/>
  <c r="W557" i="1" s="1"/>
  <c r="W560" i="1" s="1"/>
  <c r="W563" i="1" s="1"/>
  <c r="W566" i="1" s="1"/>
  <c r="W569" i="1" s="1"/>
  <c r="W572" i="1" s="1"/>
  <c r="W575" i="1" s="1"/>
  <c r="W578" i="1" s="1"/>
  <c r="W581" i="1" s="1"/>
  <c r="W584" i="1" s="1"/>
  <c r="W587" i="1" s="1"/>
  <c r="W602" i="1" s="1"/>
  <c r="W605" i="1" s="1"/>
  <c r="W608" i="1" s="1"/>
  <c r="W611" i="1" s="1"/>
  <c r="W614" i="1" s="1"/>
  <c r="W617" i="1" s="1"/>
  <c r="W620" i="1" s="1"/>
  <c r="W623" i="1" s="1"/>
  <c r="W626" i="1" s="1"/>
  <c r="W629" i="1" s="1"/>
  <c r="W632" i="1" s="1"/>
  <c r="W635" i="1" s="1"/>
  <c r="C7" i="3"/>
  <c r="G179" i="1"/>
  <c r="G182" i="1" s="1"/>
  <c r="G185" i="1" s="1"/>
  <c r="G188" i="1" s="1"/>
  <c r="G191" i="1" s="1"/>
  <c r="G194" i="1" s="1"/>
  <c r="G211" i="1" s="1"/>
  <c r="G214" i="1" s="1"/>
  <c r="G217" i="1" s="1"/>
  <c r="G220" i="1" s="1"/>
  <c r="G223" i="1" s="1"/>
  <c r="G226" i="1" s="1"/>
  <c r="G7" i="3"/>
  <c r="M1161" i="2"/>
  <c r="W330" i="2"/>
  <c r="W333" i="2" s="1"/>
  <c r="W336" i="2" s="1"/>
  <c r="W339" i="2" s="1"/>
  <c r="W342" i="2" s="1"/>
  <c r="W345" i="2" s="1"/>
  <c r="W348" i="2" s="1"/>
  <c r="W351" i="2" s="1"/>
  <c r="W354" i="2" s="1"/>
  <c r="W368" i="2" s="1"/>
  <c r="W371" i="2" s="1"/>
  <c r="W374" i="2" s="1"/>
  <c r="W377" i="2" s="1"/>
  <c r="W380" i="2" s="1"/>
  <c r="W383" i="2" s="1"/>
  <c r="W386" i="2" s="1"/>
  <c r="W389" i="2" s="1"/>
  <c r="W392" i="2" s="1"/>
  <c r="W395" i="2" s="1"/>
  <c r="W398" i="2" s="1"/>
  <c r="W401" i="2" s="1"/>
  <c r="W415" i="2" s="1"/>
  <c r="W418" i="2" s="1"/>
  <c r="W421" i="2" s="1"/>
  <c r="W424" i="2" s="1"/>
  <c r="W427" i="2" s="1"/>
  <c r="W430" i="2" s="1"/>
  <c r="W433" i="2" s="1"/>
  <c r="W436" i="2" s="1"/>
  <c r="W439" i="2" s="1"/>
  <c r="W442" i="2" s="1"/>
  <c r="W445" i="2" s="1"/>
  <c r="W448" i="2" s="1"/>
  <c r="W462" i="2" s="1"/>
  <c r="W465" i="2" s="1"/>
  <c r="W468" i="2" s="1"/>
  <c r="W471" i="2" s="1"/>
  <c r="W474" i="2" s="1"/>
  <c r="W477" i="2" s="1"/>
  <c r="W480" i="2" s="1"/>
  <c r="W483" i="2" s="1"/>
  <c r="W486" i="2" s="1"/>
  <c r="W489" i="2" s="1"/>
  <c r="W492" i="2" s="1"/>
  <c r="W495" i="2" s="1"/>
  <c r="W509" i="2" s="1"/>
  <c r="W512" i="2" s="1"/>
  <c r="W515" i="2" s="1"/>
  <c r="W518" i="2" s="1"/>
  <c r="W521" i="2" s="1"/>
  <c r="W524" i="2" s="1"/>
  <c r="W527" i="2" s="1"/>
  <c r="W530" i="2" s="1"/>
  <c r="W533" i="2" s="1"/>
  <c r="W536" i="2" s="1"/>
  <c r="W539" i="2" s="1"/>
  <c r="W542" i="2" s="1"/>
  <c r="W556" i="2" s="1"/>
  <c r="W559" i="2" s="1"/>
  <c r="W562" i="2" s="1"/>
  <c r="W565" i="2" s="1"/>
  <c r="W568" i="2" s="1"/>
  <c r="W571" i="2" s="1"/>
  <c r="W574" i="2" s="1"/>
  <c r="W577" i="2" s="1"/>
  <c r="W580" i="2" s="1"/>
  <c r="W583" i="2" s="1"/>
  <c r="W586" i="2" s="1"/>
  <c r="W589" i="2" s="1"/>
  <c r="W603" i="2" s="1"/>
  <c r="W606" i="2" s="1"/>
  <c r="W609" i="2" s="1"/>
  <c r="W612" i="2" s="1"/>
  <c r="W615" i="2" s="1"/>
  <c r="W618" i="2" s="1"/>
  <c r="W621" i="2" s="1"/>
  <c r="W624" i="2" s="1"/>
  <c r="W627" i="2" s="1"/>
  <c r="W630" i="2" s="1"/>
  <c r="W633" i="2" s="1"/>
  <c r="W636" i="2" s="1"/>
  <c r="W650" i="2" s="1"/>
  <c r="W653" i="2" s="1"/>
  <c r="W656" i="2" s="1"/>
  <c r="W659" i="2" s="1"/>
  <c r="W662" i="2" s="1"/>
  <c r="W665" i="2" s="1"/>
  <c r="W668" i="2" s="1"/>
  <c r="W671" i="2" s="1"/>
  <c r="W674" i="2" s="1"/>
  <c r="W677" i="2" s="1"/>
  <c r="W680" i="2" s="1"/>
  <c r="W683" i="2" s="1"/>
  <c r="W697" i="2" s="1"/>
  <c r="W700" i="2" s="1"/>
  <c r="W703" i="2" s="1"/>
  <c r="W706" i="2" s="1"/>
  <c r="W709" i="2" s="1"/>
  <c r="W712" i="2" s="1"/>
  <c r="W715" i="2" s="1"/>
  <c r="W718" i="2" s="1"/>
  <c r="W721" i="2" s="1"/>
  <c r="W724" i="2" s="1"/>
  <c r="W727" i="2" s="1"/>
  <c r="W730" i="2" s="1"/>
  <c r="W744" i="2" s="1"/>
  <c r="W747" i="2" s="1"/>
  <c r="W750" i="2" s="1"/>
  <c r="W753" i="2" s="1"/>
  <c r="W756" i="2" s="1"/>
  <c r="W759" i="2" s="1"/>
  <c r="W762" i="2" s="1"/>
  <c r="W765" i="2" s="1"/>
  <c r="W768" i="2" s="1"/>
  <c r="W771" i="2" s="1"/>
  <c r="W774" i="2" s="1"/>
  <c r="W777" i="2" s="1"/>
  <c r="W791" i="2" s="1"/>
  <c r="W794" i="2" s="1"/>
  <c r="W797" i="2" s="1"/>
  <c r="W800" i="2" s="1"/>
  <c r="W803" i="2" s="1"/>
  <c r="W806" i="2" s="1"/>
  <c r="W809" i="2" s="1"/>
  <c r="W812" i="2" s="1"/>
  <c r="W815" i="2" s="1"/>
  <c r="W818" i="2" s="1"/>
  <c r="W821" i="2" s="1"/>
  <c r="W824" i="2" s="1"/>
  <c r="W838" i="2" s="1"/>
  <c r="W841" i="2" s="1"/>
  <c r="W844" i="2" s="1"/>
  <c r="W847" i="2" s="1"/>
  <c r="W850" i="2" s="1"/>
  <c r="W853" i="2" s="1"/>
  <c r="W856" i="2" s="1"/>
  <c r="W859" i="2" s="1"/>
  <c r="W862" i="2" s="1"/>
  <c r="W865" i="2" s="1"/>
  <c r="W868" i="2" s="1"/>
  <c r="W871" i="2" s="1"/>
  <c r="W885" i="2" s="1"/>
  <c r="W888" i="2" s="1"/>
  <c r="W891" i="2" s="1"/>
  <c r="W894" i="2" s="1"/>
  <c r="W897" i="2" s="1"/>
  <c r="W900" i="2" s="1"/>
  <c r="W903" i="2" s="1"/>
  <c r="W906" i="2" s="1"/>
  <c r="W909" i="2" s="1"/>
  <c r="W912" i="2" s="1"/>
  <c r="W915" i="2" s="1"/>
  <c r="W918" i="2" s="1"/>
  <c r="W932" i="2" s="1"/>
  <c r="W935" i="2" s="1"/>
  <c r="W938" i="2" s="1"/>
  <c r="W941" i="2" s="1"/>
  <c r="W944" i="2" s="1"/>
  <c r="W947" i="2" s="1"/>
  <c r="W950" i="2" s="1"/>
  <c r="W953" i="2" s="1"/>
  <c r="W956" i="2" s="1"/>
  <c r="W959" i="2" s="1"/>
  <c r="W962" i="2" s="1"/>
  <c r="W965" i="2" s="1"/>
  <c r="W979" i="2" s="1"/>
  <c r="W982" i="2" s="1"/>
  <c r="W985" i="2" s="1"/>
  <c r="W988" i="2" s="1"/>
  <c r="W991" i="2" s="1"/>
  <c r="W994" i="2" s="1"/>
  <c r="W997" i="2" s="1"/>
  <c r="W1000" i="2" s="1"/>
  <c r="W1003" i="2" s="1"/>
  <c r="W1006" i="2" s="1"/>
  <c r="W1009" i="2" s="1"/>
  <c r="W1012" i="2" s="1"/>
  <c r="W1028" i="2" s="1"/>
  <c r="W1031" i="2" s="1"/>
  <c r="W1034" i="2" s="1"/>
  <c r="W1037" i="2" s="1"/>
  <c r="W1040" i="2" s="1"/>
  <c r="W1043" i="2" s="1"/>
  <c r="W1046" i="2" s="1"/>
  <c r="W1049" i="2" s="1"/>
  <c r="W1052" i="2" s="1"/>
  <c r="W1055" i="2" s="1"/>
  <c r="W1058" i="2" s="1"/>
  <c r="W1061" i="2" s="1"/>
  <c r="W1077" i="2" s="1"/>
  <c r="W1080" i="2" s="1"/>
  <c r="W1083" i="2" s="1"/>
  <c r="W1086" i="2" s="1"/>
  <c r="W1089" i="2" s="1"/>
  <c r="W1092" i="2" s="1"/>
  <c r="W1095" i="2" s="1"/>
  <c r="W1098" i="2" s="1"/>
  <c r="W1101" i="2" s="1"/>
  <c r="W1104" i="2" s="1"/>
  <c r="W1107" i="2" s="1"/>
  <c r="W1110" i="2" s="1"/>
  <c r="W1126" i="2" s="1"/>
  <c r="W1129" i="2" s="1"/>
  <c r="W1132" i="2" s="1"/>
  <c r="W1135" i="2" s="1"/>
  <c r="W1138" i="2" s="1"/>
  <c r="W1141" i="2" s="1"/>
  <c r="W1144" i="2" s="1"/>
  <c r="W1147" i="2" s="1"/>
  <c r="W1150" i="2" s="1"/>
  <c r="W1153" i="2" s="1"/>
  <c r="W1156" i="2" s="1"/>
  <c r="W1159" i="2" s="1"/>
  <c r="W1175" i="2" s="1"/>
  <c r="W1178" i="2" s="1"/>
  <c r="W1181" i="2" s="1"/>
  <c r="W1184" i="2" s="1"/>
  <c r="W1187" i="2" s="1"/>
  <c r="W1190" i="2" s="1"/>
  <c r="W1193" i="2" s="1"/>
  <c r="W1196" i="2" s="1"/>
  <c r="W1199" i="2" s="1"/>
  <c r="W1202" i="2" s="1"/>
  <c r="W1205" i="2" s="1"/>
  <c r="W1208" i="2" s="1"/>
  <c r="Z1097" i="2"/>
  <c r="H8" i="3"/>
  <c r="J8" i="3" s="1"/>
  <c r="S339" i="2"/>
  <c r="S342" i="2" s="1"/>
  <c r="S345" i="2" s="1"/>
  <c r="S348" i="2" s="1"/>
  <c r="S351" i="2" s="1"/>
  <c r="S354" i="2" s="1"/>
  <c r="S368" i="2" s="1"/>
  <c r="S371" i="2" s="1"/>
  <c r="S374" i="2" s="1"/>
  <c r="S377" i="2" s="1"/>
  <c r="S380" i="2" s="1"/>
  <c r="S383" i="2" s="1"/>
  <c r="R321" i="2"/>
  <c r="R324" i="2" s="1"/>
  <c r="R327" i="2" s="1"/>
  <c r="R330" i="2" s="1"/>
  <c r="R333" i="2" s="1"/>
  <c r="R336" i="2" s="1"/>
  <c r="X321" i="2"/>
  <c r="X324" i="2" s="1"/>
  <c r="X327" i="2" s="1"/>
  <c r="X330" i="2" s="1"/>
  <c r="X333" i="2" s="1"/>
  <c r="X336" i="2" s="1"/>
  <c r="X339" i="2" s="1"/>
  <c r="X342" i="2" s="1"/>
  <c r="X345" i="2" s="1"/>
  <c r="X348" i="2" s="1"/>
  <c r="X351" i="2" s="1"/>
  <c r="X354" i="2" s="1"/>
  <c r="X368" i="2" s="1"/>
  <c r="X371" i="2" s="1"/>
  <c r="X374" i="2" s="1"/>
  <c r="X377" i="2" s="1"/>
  <c r="X380" i="2" s="1"/>
  <c r="X383" i="2" s="1"/>
  <c r="X386" i="2" s="1"/>
  <c r="X389" i="2" s="1"/>
  <c r="X392" i="2" s="1"/>
  <c r="X395" i="2" s="1"/>
  <c r="X398" i="2" s="1"/>
  <c r="X401" i="2" s="1"/>
  <c r="X415" i="2" s="1"/>
  <c r="X418" i="2" s="1"/>
  <c r="X421" i="2" s="1"/>
  <c r="X424" i="2" s="1"/>
  <c r="X427" i="2" s="1"/>
  <c r="X430" i="2" s="1"/>
  <c r="X433" i="2" s="1"/>
  <c r="X436" i="2" s="1"/>
  <c r="X439" i="2" s="1"/>
  <c r="X442" i="2" s="1"/>
  <c r="X445" i="2" s="1"/>
  <c r="X448" i="2" s="1"/>
  <c r="X462" i="2" s="1"/>
  <c r="X465" i="2" s="1"/>
  <c r="X468" i="2" s="1"/>
  <c r="X471" i="2" s="1"/>
  <c r="X474" i="2" s="1"/>
  <c r="X477" i="2" s="1"/>
  <c r="X480" i="2" s="1"/>
  <c r="X483" i="2" s="1"/>
  <c r="X486" i="2" s="1"/>
  <c r="X489" i="2" s="1"/>
  <c r="X492" i="2" s="1"/>
  <c r="X495" i="2" s="1"/>
  <c r="X509" i="2" s="1"/>
  <c r="X512" i="2" s="1"/>
  <c r="X515" i="2" s="1"/>
  <c r="X518" i="2" s="1"/>
  <c r="X521" i="2" s="1"/>
  <c r="X524" i="2" s="1"/>
  <c r="X527" i="2" s="1"/>
  <c r="X530" i="2" s="1"/>
  <c r="X533" i="2" s="1"/>
  <c r="X536" i="2" s="1"/>
  <c r="X539" i="2" s="1"/>
  <c r="X542" i="2" s="1"/>
  <c r="X556" i="2" s="1"/>
  <c r="X559" i="2" s="1"/>
  <c r="X562" i="2" s="1"/>
  <c r="X565" i="2" s="1"/>
  <c r="X568" i="2" s="1"/>
  <c r="X571" i="2" s="1"/>
  <c r="X574" i="2" s="1"/>
  <c r="X577" i="2" s="1"/>
  <c r="X580" i="2" s="1"/>
  <c r="X583" i="2" s="1"/>
  <c r="X586" i="2" s="1"/>
  <c r="X589" i="2" s="1"/>
  <c r="X603" i="2" s="1"/>
  <c r="X606" i="2" s="1"/>
  <c r="X609" i="2" s="1"/>
  <c r="X612" i="2" s="1"/>
  <c r="X615" i="2" s="1"/>
  <c r="X618" i="2" s="1"/>
  <c r="X621" i="2" s="1"/>
  <c r="X624" i="2" s="1"/>
  <c r="X627" i="2" s="1"/>
  <c r="X630" i="2" s="1"/>
  <c r="X633" i="2" s="1"/>
  <c r="X636" i="2" s="1"/>
  <c r="X650" i="2" s="1"/>
  <c r="X653" i="2" s="1"/>
  <c r="X656" i="2" s="1"/>
  <c r="X659" i="2" s="1"/>
  <c r="X662" i="2" s="1"/>
  <c r="X665" i="2" s="1"/>
  <c r="X668" i="2" s="1"/>
  <c r="X671" i="2" s="1"/>
  <c r="X674" i="2" s="1"/>
  <c r="X677" i="2" s="1"/>
  <c r="X680" i="2" s="1"/>
  <c r="X683" i="2" s="1"/>
  <c r="X697" i="2" s="1"/>
  <c r="X700" i="2" s="1"/>
  <c r="X703" i="2" s="1"/>
  <c r="X706" i="2" s="1"/>
  <c r="X709" i="2" s="1"/>
  <c r="X712" i="2" s="1"/>
  <c r="X715" i="2" s="1"/>
  <c r="X718" i="2" s="1"/>
  <c r="X721" i="2" s="1"/>
  <c r="X724" i="2" s="1"/>
  <c r="X727" i="2" s="1"/>
  <c r="X730" i="2" s="1"/>
  <c r="X744" i="2" s="1"/>
  <c r="X747" i="2" s="1"/>
  <c r="X750" i="2" s="1"/>
  <c r="X753" i="2" s="1"/>
  <c r="X756" i="2" s="1"/>
  <c r="X759" i="2" s="1"/>
  <c r="X762" i="2" s="1"/>
  <c r="X765" i="2" s="1"/>
  <c r="X768" i="2" s="1"/>
  <c r="X771" i="2" s="1"/>
  <c r="X774" i="2" s="1"/>
  <c r="X777" i="2" s="1"/>
  <c r="X791" i="2" s="1"/>
  <c r="X794" i="2" s="1"/>
  <c r="X797" i="2" s="1"/>
  <c r="X800" i="2" s="1"/>
  <c r="X803" i="2" s="1"/>
  <c r="X806" i="2" s="1"/>
  <c r="X809" i="2" s="1"/>
  <c r="X812" i="2" s="1"/>
  <c r="X815" i="2" s="1"/>
  <c r="X818" i="2" s="1"/>
  <c r="X821" i="2" s="1"/>
  <c r="X824" i="2" s="1"/>
  <c r="X838" i="2" s="1"/>
  <c r="X841" i="2" s="1"/>
  <c r="X844" i="2" s="1"/>
  <c r="X847" i="2" s="1"/>
  <c r="X850" i="2" s="1"/>
  <c r="X853" i="2" s="1"/>
  <c r="X856" i="2" s="1"/>
  <c r="X859" i="2" s="1"/>
  <c r="X862" i="2" s="1"/>
  <c r="X865" i="2" s="1"/>
  <c r="X868" i="2" s="1"/>
  <c r="X871" i="2" s="1"/>
  <c r="X885" i="2" s="1"/>
  <c r="X888" i="2" s="1"/>
  <c r="X891" i="2" s="1"/>
  <c r="X894" i="2" s="1"/>
  <c r="X897" i="2" s="1"/>
  <c r="X900" i="2" s="1"/>
  <c r="X903" i="2" s="1"/>
  <c r="X906" i="2" s="1"/>
  <c r="X909" i="2" s="1"/>
  <c r="X912" i="2" s="1"/>
  <c r="X915" i="2" s="1"/>
  <c r="X918" i="2" s="1"/>
  <c r="X932" i="2" s="1"/>
  <c r="X935" i="2" s="1"/>
  <c r="X938" i="2" s="1"/>
  <c r="X941" i="2" s="1"/>
  <c r="X944" i="2" s="1"/>
  <c r="X947" i="2" s="1"/>
  <c r="X950" i="2" s="1"/>
  <c r="X953" i="2" s="1"/>
  <c r="X956" i="2" s="1"/>
  <c r="X959" i="2" s="1"/>
  <c r="X962" i="2" s="1"/>
  <c r="X965" i="2" s="1"/>
  <c r="X979" i="2" s="1"/>
  <c r="X982" i="2" s="1"/>
  <c r="X985" i="2" s="1"/>
  <c r="X988" i="2" s="1"/>
  <c r="X991" i="2" s="1"/>
  <c r="X994" i="2" s="1"/>
  <c r="X997" i="2" s="1"/>
  <c r="X1000" i="2" s="1"/>
  <c r="X1003" i="2" s="1"/>
  <c r="X1006" i="2" s="1"/>
  <c r="X1009" i="2" s="1"/>
  <c r="X1012" i="2" s="1"/>
  <c r="X1028" i="2" s="1"/>
  <c r="X1031" i="2" s="1"/>
  <c r="X1034" i="2" s="1"/>
  <c r="X1037" i="2" s="1"/>
  <c r="X1040" i="2" s="1"/>
  <c r="X1043" i="2" s="1"/>
  <c r="X1046" i="2" s="1"/>
  <c r="X1049" i="2" s="1"/>
  <c r="X1052" i="2" s="1"/>
  <c r="X1055" i="2" s="1"/>
  <c r="X1058" i="2" s="1"/>
  <c r="X1061" i="2" s="1"/>
  <c r="X1077" i="2" s="1"/>
  <c r="X1080" i="2" s="1"/>
  <c r="X1083" i="2" s="1"/>
  <c r="X1086" i="2" s="1"/>
  <c r="X1089" i="2" s="1"/>
  <c r="X1092" i="2" s="1"/>
  <c r="X1095" i="2" s="1"/>
  <c r="X1098" i="2" s="1"/>
  <c r="X1101" i="2" s="1"/>
  <c r="X1104" i="2" s="1"/>
  <c r="X1107" i="2" s="1"/>
  <c r="X1110" i="2" s="1"/>
  <c r="X1126" i="2" s="1"/>
  <c r="X1129" i="2" s="1"/>
  <c r="X1132" i="2" s="1"/>
  <c r="X1135" i="2" s="1"/>
  <c r="X1138" i="2" s="1"/>
  <c r="X1141" i="2" s="1"/>
  <c r="X1144" i="2" s="1"/>
  <c r="X1147" i="2" s="1"/>
  <c r="X1150" i="2" s="1"/>
  <c r="X1153" i="2" s="1"/>
  <c r="X1156" i="2" s="1"/>
  <c r="X1159" i="2" s="1"/>
  <c r="X1175" i="2" s="1"/>
  <c r="X1178" i="2" s="1"/>
  <c r="X1181" i="2" s="1"/>
  <c r="X1184" i="2" s="1"/>
  <c r="X1187" i="2" s="1"/>
  <c r="X1190" i="2" s="1"/>
  <c r="X1193" i="2" s="1"/>
  <c r="X1196" i="2" s="1"/>
  <c r="X1199" i="2" s="1"/>
  <c r="X1202" i="2" s="1"/>
  <c r="X1205" i="2" s="1"/>
  <c r="X1208" i="2" s="1"/>
  <c r="W11" i="2"/>
  <c r="W14" i="2" s="1"/>
  <c r="W17" i="2" s="1"/>
  <c r="W20" i="2" s="1"/>
  <c r="W23" i="2" s="1"/>
  <c r="W26" i="2" s="1"/>
  <c r="W29" i="2" s="1"/>
  <c r="W32" i="2" s="1"/>
  <c r="W35" i="2" s="1"/>
  <c r="W38" i="2" s="1"/>
  <c r="W41" i="2" s="1"/>
  <c r="W44" i="2" s="1"/>
  <c r="S11" i="2"/>
  <c r="S14" i="2" s="1"/>
  <c r="S17" i="2" s="1"/>
  <c r="S20" i="2" s="1"/>
  <c r="S23" i="2" s="1"/>
  <c r="S26" i="2" s="1"/>
  <c r="S29" i="2" s="1"/>
  <c r="S32" i="2" s="1"/>
  <c r="S35" i="2" s="1"/>
  <c r="S38" i="2" s="1"/>
  <c r="S41" i="2" s="1"/>
  <c r="S44" i="2" s="1"/>
  <c r="G288" i="2"/>
  <c r="G291" i="2" s="1"/>
  <c r="G294" i="2" s="1"/>
  <c r="G297" i="2" s="1"/>
  <c r="G300" i="2" s="1"/>
  <c r="G303" i="2" s="1"/>
  <c r="G321" i="2" s="1"/>
  <c r="G324" i="2" s="1"/>
  <c r="G327" i="2" s="1"/>
  <c r="G330" i="2" s="1"/>
  <c r="G333" i="2" s="1"/>
  <c r="G336" i="2" s="1"/>
  <c r="B7" i="3"/>
  <c r="Q35" i="4"/>
  <c r="Q38" i="4" s="1"/>
  <c r="Q41" i="4" s="1"/>
  <c r="Q41" i="17"/>
  <c r="W31" i="4"/>
  <c r="W32" i="4" s="1"/>
  <c r="E1010" i="1"/>
  <c r="E1013" i="1" s="1"/>
  <c r="E1016" i="1" s="1"/>
  <c r="E1019" i="1" s="1"/>
  <c r="E1034" i="1" s="1"/>
  <c r="E1037" i="1" s="1"/>
  <c r="E1040" i="1" s="1"/>
  <c r="E1043" i="1" s="1"/>
  <c r="E1046" i="1" s="1"/>
  <c r="E1049" i="1" s="1"/>
  <c r="E1052" i="1" s="1"/>
  <c r="E1055" i="1" s="1"/>
  <c r="E1058" i="1" s="1"/>
  <c r="E1061" i="1" s="1"/>
  <c r="E1064" i="1" s="1"/>
  <c r="E1067" i="1" s="1"/>
  <c r="E1082" i="1" s="1"/>
  <c r="E1085" i="1" s="1"/>
  <c r="E1088" i="1" s="1"/>
  <c r="E1091" i="1" s="1"/>
  <c r="E1094" i="1" s="1"/>
  <c r="E1097" i="1" s="1"/>
  <c r="E1100" i="1" s="1"/>
  <c r="E1103" i="1" s="1"/>
  <c r="E1106" i="1" s="1"/>
  <c r="E1109" i="1" s="1"/>
  <c r="E1112" i="1" s="1"/>
  <c r="E1115" i="1" s="1"/>
  <c r="W35" i="4" l="1"/>
  <c r="W38" i="4" s="1"/>
  <c r="W41" i="4" s="1"/>
  <c r="R329" i="1"/>
  <c r="R332" i="1" s="1"/>
  <c r="R335" i="1" s="1"/>
  <c r="R338" i="1" s="1"/>
  <c r="R341" i="1" s="1"/>
  <c r="R344" i="1" s="1"/>
  <c r="R362" i="1" s="1"/>
  <c r="R365" i="1" s="1"/>
  <c r="R368" i="1" s="1"/>
  <c r="R371" i="1" s="1"/>
  <c r="R374" i="1" s="1"/>
  <c r="R377" i="1" s="1"/>
  <c r="I10" i="3"/>
  <c r="C8" i="3"/>
  <c r="G229" i="1"/>
  <c r="G232" i="1" s="1"/>
  <c r="G235" i="1" s="1"/>
  <c r="G238" i="1" s="1"/>
  <c r="G241" i="1" s="1"/>
  <c r="G244" i="1" s="1"/>
  <c r="G261" i="1" s="1"/>
  <c r="G264" i="1" s="1"/>
  <c r="G267" i="1" s="1"/>
  <c r="G270" i="1" s="1"/>
  <c r="G273" i="1" s="1"/>
  <c r="G276" i="1" s="1"/>
  <c r="W650" i="1"/>
  <c r="W653" i="1" s="1"/>
  <c r="W656" i="1" s="1"/>
  <c r="W659" i="1" s="1"/>
  <c r="W662" i="1" s="1"/>
  <c r="W665" i="1" s="1"/>
  <c r="W668" i="1" s="1"/>
  <c r="W671" i="1" s="1"/>
  <c r="W674" i="1" s="1"/>
  <c r="W677" i="1" s="1"/>
  <c r="W680" i="1" s="1"/>
  <c r="W683" i="1" s="1"/>
  <c r="W698" i="1" s="1"/>
  <c r="W701" i="1" s="1"/>
  <c r="W704" i="1" s="1"/>
  <c r="W707" i="1" s="1"/>
  <c r="W710" i="1" s="1"/>
  <c r="W713" i="1" s="1"/>
  <c r="W716" i="1" s="1"/>
  <c r="W719" i="1" s="1"/>
  <c r="W722" i="1" s="1"/>
  <c r="W725" i="1" s="1"/>
  <c r="W728" i="1" s="1"/>
  <c r="W731" i="1" s="1"/>
  <c r="W746" i="1" s="1"/>
  <c r="W749" i="1" s="1"/>
  <c r="W752" i="1" s="1"/>
  <c r="W755" i="1" s="1"/>
  <c r="W758" i="1" s="1"/>
  <c r="W761" i="1" s="1"/>
  <c r="W764" i="1" s="1"/>
  <c r="W767" i="1" s="1"/>
  <c r="W770" i="1" s="1"/>
  <c r="W773" i="1" s="1"/>
  <c r="W776" i="1" s="1"/>
  <c r="W779" i="1" s="1"/>
  <c r="W794" i="1" s="1"/>
  <c r="W797" i="1" s="1"/>
  <c r="W800" i="1" s="1"/>
  <c r="W803" i="1" s="1"/>
  <c r="W806" i="1" s="1"/>
  <c r="W809" i="1" s="1"/>
  <c r="W812" i="1" s="1"/>
  <c r="W815" i="1" s="1"/>
  <c r="W818" i="1" s="1"/>
  <c r="W821" i="1" s="1"/>
  <c r="W824" i="1" s="1"/>
  <c r="W827" i="1" s="1"/>
  <c r="W842" i="1" s="1"/>
  <c r="W845" i="1" s="1"/>
  <c r="W848" i="1" s="1"/>
  <c r="W851" i="1" s="1"/>
  <c r="W854" i="1" s="1"/>
  <c r="W857" i="1" s="1"/>
  <c r="W860" i="1" s="1"/>
  <c r="W863" i="1" s="1"/>
  <c r="W866" i="1" s="1"/>
  <c r="W869" i="1" s="1"/>
  <c r="W872" i="1" s="1"/>
  <c r="W875" i="1" s="1"/>
  <c r="W890" i="1" s="1"/>
  <c r="W893" i="1" s="1"/>
  <c r="W896" i="1" s="1"/>
  <c r="W899" i="1" s="1"/>
  <c r="W902" i="1" s="1"/>
  <c r="W905" i="1" s="1"/>
  <c r="W908" i="1" s="1"/>
  <c r="W911" i="1" s="1"/>
  <c r="W914" i="1" s="1"/>
  <c r="W917" i="1" s="1"/>
  <c r="W920" i="1" s="1"/>
  <c r="W923" i="1" s="1"/>
  <c r="W938" i="1" s="1"/>
  <c r="W941" i="1" s="1"/>
  <c r="W944" i="1" s="1"/>
  <c r="W947" i="1" s="1"/>
  <c r="W950" i="1" s="1"/>
  <c r="W953" i="1" s="1"/>
  <c r="W956" i="1" s="1"/>
  <c r="W959" i="1" s="1"/>
  <c r="W962" i="1" s="1"/>
  <c r="W965" i="1" s="1"/>
  <c r="W968" i="1" s="1"/>
  <c r="W971" i="1" s="1"/>
  <c r="W986" i="1" s="1"/>
  <c r="W989" i="1" s="1"/>
  <c r="W992" i="1" s="1"/>
  <c r="W995" i="1" s="1"/>
  <c r="W998" i="1" s="1"/>
  <c r="W1001" i="1" s="1"/>
  <c r="W1004" i="1" s="1"/>
  <c r="W1007" i="1" s="1"/>
  <c r="W1010" i="1" s="1"/>
  <c r="W1013" i="1" s="1"/>
  <c r="W1016" i="1" s="1"/>
  <c r="W1019" i="1" s="1"/>
  <c r="W1034" i="1" s="1"/>
  <c r="W1037" i="1" s="1"/>
  <c r="W1040" i="1" s="1"/>
  <c r="W1043" i="1" s="1"/>
  <c r="W1046" i="1" s="1"/>
  <c r="W1049" i="1" s="1"/>
  <c r="W1052" i="1" s="1"/>
  <c r="W1055" i="1" s="1"/>
  <c r="W1058" i="1" s="1"/>
  <c r="W1061" i="1" s="1"/>
  <c r="W1064" i="1" s="1"/>
  <c r="W1067" i="1" s="1"/>
  <c r="W1082" i="1" s="1"/>
  <c r="W1085" i="1" s="1"/>
  <c r="W1088" i="1" s="1"/>
  <c r="W1091" i="1" s="1"/>
  <c r="W1094" i="1" s="1"/>
  <c r="W1097" i="1" s="1"/>
  <c r="W1100" i="1" s="1"/>
  <c r="W1103" i="1" s="1"/>
  <c r="W1106" i="1" s="1"/>
  <c r="W1109" i="1" s="1"/>
  <c r="W1112" i="1" s="1"/>
  <c r="W1115" i="1" s="1"/>
  <c r="AB635" i="1"/>
  <c r="D7" i="3"/>
  <c r="Q229" i="1"/>
  <c r="Q232" i="1" s="1"/>
  <c r="Q235" i="1" s="1"/>
  <c r="Q238" i="1" s="1"/>
  <c r="Q241" i="1" s="1"/>
  <c r="Q244" i="1" s="1"/>
  <c r="Q261" i="1" s="1"/>
  <c r="Q264" i="1" s="1"/>
  <c r="Q267" i="1" s="1"/>
  <c r="Q270" i="1" s="1"/>
  <c r="Q273" i="1" s="1"/>
  <c r="Q276" i="1" s="1"/>
  <c r="F8" i="3"/>
  <c r="AC39" i="1"/>
  <c r="AA42" i="1"/>
  <c r="S386" i="2"/>
  <c r="S389" i="2" s="1"/>
  <c r="S392" i="2" s="1"/>
  <c r="S395" i="2" s="1"/>
  <c r="S398" i="2" s="1"/>
  <c r="S401" i="2" s="1"/>
  <c r="S415" i="2" s="1"/>
  <c r="S418" i="2" s="1"/>
  <c r="S421" i="2" s="1"/>
  <c r="S424" i="2" s="1"/>
  <c r="S427" i="2" s="1"/>
  <c r="S430" i="2" s="1"/>
  <c r="H9" i="3"/>
  <c r="J9" i="3" s="1"/>
  <c r="G339" i="2"/>
  <c r="G342" i="2" s="1"/>
  <c r="G345" i="2" s="1"/>
  <c r="G348" i="2" s="1"/>
  <c r="G351" i="2" s="1"/>
  <c r="G354" i="2" s="1"/>
  <c r="G368" i="2" s="1"/>
  <c r="G371" i="2" s="1"/>
  <c r="G374" i="2" s="1"/>
  <c r="G377" i="2" s="1"/>
  <c r="G380" i="2" s="1"/>
  <c r="G383" i="2" s="1"/>
  <c r="B8" i="3"/>
  <c r="D8" i="3" s="1"/>
  <c r="E8" i="3"/>
  <c r="R339" i="2"/>
  <c r="R342" i="2" s="1"/>
  <c r="R345" i="2" s="1"/>
  <c r="R348" i="2" s="1"/>
  <c r="R351" i="2" s="1"/>
  <c r="R354" i="2" s="1"/>
  <c r="R368" i="2" s="1"/>
  <c r="R371" i="2" s="1"/>
  <c r="R374" i="2" s="1"/>
  <c r="R377" i="2" s="1"/>
  <c r="R380" i="2" s="1"/>
  <c r="R383" i="2" s="1"/>
  <c r="X32" i="4"/>
  <c r="X35" i="4" s="1"/>
  <c r="X38" i="4" s="1"/>
  <c r="X41" i="4" s="1"/>
  <c r="G8" i="3" l="1"/>
  <c r="C9" i="3"/>
  <c r="G279" i="1"/>
  <c r="G282" i="1" s="1"/>
  <c r="G285" i="1" s="1"/>
  <c r="G288" i="1" s="1"/>
  <c r="G291" i="1" s="1"/>
  <c r="G294" i="1" s="1"/>
  <c r="G311" i="1" s="1"/>
  <c r="G314" i="1" s="1"/>
  <c r="G317" i="1" s="1"/>
  <c r="G320" i="1" s="1"/>
  <c r="G323" i="1" s="1"/>
  <c r="G326" i="1" s="1"/>
  <c r="AC42" i="1"/>
  <c r="AA45" i="1"/>
  <c r="Q279" i="1"/>
  <c r="Q282" i="1" s="1"/>
  <c r="Q285" i="1" s="1"/>
  <c r="Q288" i="1" s="1"/>
  <c r="Q291" i="1" s="1"/>
  <c r="Q294" i="1" s="1"/>
  <c r="Q311" i="1" s="1"/>
  <c r="Q314" i="1" s="1"/>
  <c r="Q317" i="1" s="1"/>
  <c r="Q320" i="1" s="1"/>
  <c r="Q323" i="1" s="1"/>
  <c r="Q326" i="1" s="1"/>
  <c r="F9" i="3"/>
  <c r="I11" i="3"/>
  <c r="R380" i="1"/>
  <c r="R383" i="1" s="1"/>
  <c r="R386" i="1" s="1"/>
  <c r="R389" i="1" s="1"/>
  <c r="R392" i="1" s="1"/>
  <c r="R395" i="1" s="1"/>
  <c r="R410" i="1" s="1"/>
  <c r="R413" i="1" s="1"/>
  <c r="R416" i="1" s="1"/>
  <c r="R419" i="1" s="1"/>
  <c r="R422" i="1" s="1"/>
  <c r="R425" i="1" s="1"/>
  <c r="B9" i="3"/>
  <c r="D9" i="3" s="1"/>
  <c r="G386" i="2"/>
  <c r="G389" i="2" s="1"/>
  <c r="G392" i="2" s="1"/>
  <c r="G395" i="2" s="1"/>
  <c r="G398" i="2" s="1"/>
  <c r="G401" i="2" s="1"/>
  <c r="G415" i="2" s="1"/>
  <c r="G418" i="2" s="1"/>
  <c r="G421" i="2" s="1"/>
  <c r="G424" i="2" s="1"/>
  <c r="G427" i="2" s="1"/>
  <c r="G430" i="2" s="1"/>
  <c r="S433" i="2"/>
  <c r="S436" i="2" s="1"/>
  <c r="S439" i="2" s="1"/>
  <c r="S442" i="2" s="1"/>
  <c r="S445" i="2" s="1"/>
  <c r="S448" i="2" s="1"/>
  <c r="S462" i="2" s="1"/>
  <c r="S465" i="2" s="1"/>
  <c r="S468" i="2" s="1"/>
  <c r="S471" i="2" s="1"/>
  <c r="S474" i="2" s="1"/>
  <c r="S477" i="2" s="1"/>
  <c r="H10" i="3"/>
  <c r="J10" i="3" s="1"/>
  <c r="R386" i="2"/>
  <c r="R389" i="2" s="1"/>
  <c r="R392" i="2" s="1"/>
  <c r="R395" i="2" s="1"/>
  <c r="R398" i="2" s="1"/>
  <c r="R401" i="2" s="1"/>
  <c r="R415" i="2" s="1"/>
  <c r="R418" i="2" s="1"/>
  <c r="R421" i="2" s="1"/>
  <c r="R424" i="2" s="1"/>
  <c r="R427" i="2" s="1"/>
  <c r="R430" i="2" s="1"/>
  <c r="E9" i="3"/>
  <c r="G9" i="3" s="1"/>
  <c r="F10" i="3" l="1"/>
  <c r="Q329" i="1"/>
  <c r="Q332" i="1" s="1"/>
  <c r="Q335" i="1" s="1"/>
  <c r="Q338" i="1" s="1"/>
  <c r="Q341" i="1" s="1"/>
  <c r="Q344" i="1" s="1"/>
  <c r="Q362" i="1" s="1"/>
  <c r="Q365" i="1" s="1"/>
  <c r="Q368" i="1" s="1"/>
  <c r="Q371" i="1" s="1"/>
  <c r="Q374" i="1" s="1"/>
  <c r="Q377" i="1" s="1"/>
  <c r="AC45" i="1"/>
  <c r="AA62" i="1"/>
  <c r="R428" i="1"/>
  <c r="R431" i="1" s="1"/>
  <c r="R434" i="1" s="1"/>
  <c r="R437" i="1" s="1"/>
  <c r="R440" i="1" s="1"/>
  <c r="R443" i="1" s="1"/>
  <c r="R458" i="1" s="1"/>
  <c r="R461" i="1" s="1"/>
  <c r="R464" i="1" s="1"/>
  <c r="R467" i="1" s="1"/>
  <c r="R470" i="1" s="1"/>
  <c r="R473" i="1" s="1"/>
  <c r="I12" i="3"/>
  <c r="G329" i="1"/>
  <c r="G332" i="1" s="1"/>
  <c r="G335" i="1" s="1"/>
  <c r="G338" i="1" s="1"/>
  <c r="G341" i="1" s="1"/>
  <c r="G344" i="1" s="1"/>
  <c r="G362" i="1" s="1"/>
  <c r="G365" i="1" s="1"/>
  <c r="G368" i="1" s="1"/>
  <c r="G371" i="1" s="1"/>
  <c r="G374" i="1" s="1"/>
  <c r="G377" i="1" s="1"/>
  <c r="C10" i="3"/>
  <c r="E10" i="3"/>
  <c r="G10" i="3" s="1"/>
  <c r="R433" i="2"/>
  <c r="R436" i="2" s="1"/>
  <c r="R439" i="2" s="1"/>
  <c r="R442" i="2" s="1"/>
  <c r="R445" i="2" s="1"/>
  <c r="R448" i="2" s="1"/>
  <c r="R462" i="2" s="1"/>
  <c r="R465" i="2" s="1"/>
  <c r="R468" i="2" s="1"/>
  <c r="R471" i="2" s="1"/>
  <c r="R474" i="2" s="1"/>
  <c r="R477" i="2" s="1"/>
  <c r="H11" i="3"/>
  <c r="J11" i="3" s="1"/>
  <c r="S480" i="2"/>
  <c r="S483" i="2" s="1"/>
  <c r="S486" i="2" s="1"/>
  <c r="S489" i="2" s="1"/>
  <c r="S492" i="2" s="1"/>
  <c r="S495" i="2" s="1"/>
  <c r="S509" i="2" s="1"/>
  <c r="S512" i="2" s="1"/>
  <c r="S515" i="2" s="1"/>
  <c r="S518" i="2" s="1"/>
  <c r="S521" i="2" s="1"/>
  <c r="S524" i="2" s="1"/>
  <c r="G433" i="2"/>
  <c r="G436" i="2" s="1"/>
  <c r="G439" i="2" s="1"/>
  <c r="G442" i="2" s="1"/>
  <c r="G445" i="2" s="1"/>
  <c r="G448" i="2" s="1"/>
  <c r="G462" i="2" s="1"/>
  <c r="G465" i="2" s="1"/>
  <c r="G468" i="2" s="1"/>
  <c r="G471" i="2" s="1"/>
  <c r="G474" i="2" s="1"/>
  <c r="G477" i="2" s="1"/>
  <c r="B10" i="3"/>
  <c r="AC62" i="1" l="1"/>
  <c r="AA65" i="1"/>
  <c r="AC65" i="1" s="1"/>
  <c r="Q380" i="1"/>
  <c r="Q383" i="1" s="1"/>
  <c r="Q386" i="1" s="1"/>
  <c r="Q389" i="1" s="1"/>
  <c r="Q392" i="1" s="1"/>
  <c r="Q395" i="1" s="1"/>
  <c r="Q410" i="1" s="1"/>
  <c r="Q413" i="1" s="1"/>
  <c r="Q416" i="1" s="1"/>
  <c r="Q419" i="1" s="1"/>
  <c r="Q422" i="1" s="1"/>
  <c r="Q425" i="1" s="1"/>
  <c r="F11" i="3"/>
  <c r="G380" i="1"/>
  <c r="G383" i="1" s="1"/>
  <c r="G386" i="1" s="1"/>
  <c r="G389" i="1" s="1"/>
  <c r="G392" i="1" s="1"/>
  <c r="G395" i="1" s="1"/>
  <c r="G410" i="1" s="1"/>
  <c r="G413" i="1" s="1"/>
  <c r="G416" i="1" s="1"/>
  <c r="G419" i="1" s="1"/>
  <c r="G422" i="1" s="1"/>
  <c r="G425" i="1" s="1"/>
  <c r="C11" i="3"/>
  <c r="D10" i="3"/>
  <c r="I13" i="3"/>
  <c r="R476" i="1"/>
  <c r="R479" i="1" s="1"/>
  <c r="R482" i="1" s="1"/>
  <c r="R485" i="1" s="1"/>
  <c r="R488" i="1" s="1"/>
  <c r="R491" i="1" s="1"/>
  <c r="R506" i="1" s="1"/>
  <c r="R509" i="1" s="1"/>
  <c r="R512" i="1" s="1"/>
  <c r="R515" i="1" s="1"/>
  <c r="R518" i="1" s="1"/>
  <c r="R521" i="1" s="1"/>
  <c r="G480" i="2"/>
  <c r="G483" i="2" s="1"/>
  <c r="G486" i="2" s="1"/>
  <c r="G489" i="2" s="1"/>
  <c r="G492" i="2" s="1"/>
  <c r="G495" i="2" s="1"/>
  <c r="G509" i="2" s="1"/>
  <c r="G512" i="2" s="1"/>
  <c r="G515" i="2" s="1"/>
  <c r="G518" i="2" s="1"/>
  <c r="G521" i="2" s="1"/>
  <c r="G524" i="2" s="1"/>
  <c r="B11" i="3"/>
  <c r="H12" i="3"/>
  <c r="J12" i="3" s="1"/>
  <c r="S527" i="2"/>
  <c r="S530" i="2" s="1"/>
  <c r="S533" i="2" s="1"/>
  <c r="S536" i="2" s="1"/>
  <c r="S539" i="2" s="1"/>
  <c r="S542" i="2" s="1"/>
  <c r="S556" i="2" s="1"/>
  <c r="S559" i="2" s="1"/>
  <c r="S562" i="2" s="1"/>
  <c r="S565" i="2" s="1"/>
  <c r="S568" i="2" s="1"/>
  <c r="S571" i="2" s="1"/>
  <c r="E11" i="3"/>
  <c r="G11" i="3" s="1"/>
  <c r="R480" i="2"/>
  <c r="R483" i="2" s="1"/>
  <c r="R486" i="2" s="1"/>
  <c r="R489" i="2" s="1"/>
  <c r="R492" i="2" s="1"/>
  <c r="R495" i="2" s="1"/>
  <c r="R509" i="2" s="1"/>
  <c r="R512" i="2" s="1"/>
  <c r="R515" i="2" s="1"/>
  <c r="R518" i="2" s="1"/>
  <c r="R521" i="2" s="1"/>
  <c r="R524" i="2" s="1"/>
  <c r="C12" i="3" l="1"/>
  <c r="G428" i="1"/>
  <c r="G431" i="1" s="1"/>
  <c r="G434" i="1" s="1"/>
  <c r="G437" i="1" s="1"/>
  <c r="G440" i="1" s="1"/>
  <c r="G443" i="1" s="1"/>
  <c r="G458" i="1" s="1"/>
  <c r="G461" i="1" s="1"/>
  <c r="G464" i="1" s="1"/>
  <c r="G467" i="1" s="1"/>
  <c r="G470" i="1" s="1"/>
  <c r="G473" i="1" s="1"/>
  <c r="D11" i="3"/>
  <c r="Q428" i="1"/>
  <c r="Q431" i="1" s="1"/>
  <c r="Q434" i="1" s="1"/>
  <c r="Q437" i="1" s="1"/>
  <c r="Q440" i="1" s="1"/>
  <c r="Q443" i="1" s="1"/>
  <c r="Q458" i="1" s="1"/>
  <c r="Q461" i="1" s="1"/>
  <c r="Q464" i="1" s="1"/>
  <c r="Q467" i="1" s="1"/>
  <c r="Q470" i="1" s="1"/>
  <c r="Q473" i="1" s="1"/>
  <c r="F12" i="3"/>
  <c r="I14" i="3"/>
  <c r="R524" i="1"/>
  <c r="R527" i="1" s="1"/>
  <c r="R530" i="1" s="1"/>
  <c r="R533" i="1" s="1"/>
  <c r="R536" i="1" s="1"/>
  <c r="R539" i="1" s="1"/>
  <c r="R554" i="1" s="1"/>
  <c r="R557" i="1" s="1"/>
  <c r="R560" i="1" s="1"/>
  <c r="R563" i="1" s="1"/>
  <c r="R566" i="1" s="1"/>
  <c r="R569" i="1" s="1"/>
  <c r="G527" i="2"/>
  <c r="G530" i="2" s="1"/>
  <c r="G533" i="2" s="1"/>
  <c r="G536" i="2" s="1"/>
  <c r="G539" i="2" s="1"/>
  <c r="G542" i="2" s="1"/>
  <c r="G556" i="2" s="1"/>
  <c r="G559" i="2" s="1"/>
  <c r="G562" i="2" s="1"/>
  <c r="G565" i="2" s="1"/>
  <c r="G568" i="2" s="1"/>
  <c r="G571" i="2" s="1"/>
  <c r="B12" i="3"/>
  <c r="D12" i="3" s="1"/>
  <c r="E12" i="3"/>
  <c r="G12" i="3" s="1"/>
  <c r="R527" i="2"/>
  <c r="R530" i="2" s="1"/>
  <c r="R533" i="2" s="1"/>
  <c r="R536" i="2" s="1"/>
  <c r="R539" i="2" s="1"/>
  <c r="R542" i="2" s="1"/>
  <c r="R556" i="2" s="1"/>
  <c r="R559" i="2" s="1"/>
  <c r="R562" i="2" s="1"/>
  <c r="R565" i="2" s="1"/>
  <c r="R568" i="2" s="1"/>
  <c r="R571" i="2" s="1"/>
  <c r="S574" i="2"/>
  <c r="S577" i="2" s="1"/>
  <c r="S580" i="2" s="1"/>
  <c r="S583" i="2" s="1"/>
  <c r="S586" i="2" s="1"/>
  <c r="S589" i="2" s="1"/>
  <c r="S603" i="2" s="1"/>
  <c r="S606" i="2" s="1"/>
  <c r="S609" i="2" s="1"/>
  <c r="S612" i="2" s="1"/>
  <c r="S615" i="2" s="1"/>
  <c r="S618" i="2" s="1"/>
  <c r="H13" i="3"/>
  <c r="J13" i="3" s="1"/>
  <c r="F13" i="3" l="1"/>
  <c r="Q476" i="1"/>
  <c r="Q479" i="1" s="1"/>
  <c r="Q482" i="1" s="1"/>
  <c r="Q485" i="1" s="1"/>
  <c r="Q488" i="1" s="1"/>
  <c r="Q491" i="1" s="1"/>
  <c r="Q506" i="1" s="1"/>
  <c r="Q509" i="1" s="1"/>
  <c r="Q512" i="1" s="1"/>
  <c r="Q515" i="1" s="1"/>
  <c r="Q518" i="1" s="1"/>
  <c r="Q521" i="1" s="1"/>
  <c r="R572" i="1"/>
  <c r="R575" i="1" s="1"/>
  <c r="R578" i="1" s="1"/>
  <c r="R581" i="1" s="1"/>
  <c r="R584" i="1" s="1"/>
  <c r="R587" i="1" s="1"/>
  <c r="R602" i="1" s="1"/>
  <c r="R605" i="1" s="1"/>
  <c r="R608" i="1" s="1"/>
  <c r="R611" i="1" s="1"/>
  <c r="R614" i="1" s="1"/>
  <c r="R617" i="1" s="1"/>
  <c r="I15" i="3"/>
  <c r="C13" i="3"/>
  <c r="G476" i="1"/>
  <c r="G479" i="1" s="1"/>
  <c r="G482" i="1" s="1"/>
  <c r="G485" i="1" s="1"/>
  <c r="G488" i="1" s="1"/>
  <c r="G491" i="1" s="1"/>
  <c r="G506" i="1" s="1"/>
  <c r="G509" i="1" s="1"/>
  <c r="G512" i="1" s="1"/>
  <c r="G515" i="1" s="1"/>
  <c r="G518" i="1" s="1"/>
  <c r="G521" i="1" s="1"/>
  <c r="S621" i="2"/>
  <c r="S624" i="2" s="1"/>
  <c r="S627" i="2" s="1"/>
  <c r="S630" i="2" s="1"/>
  <c r="S633" i="2" s="1"/>
  <c r="S636" i="2" s="1"/>
  <c r="S650" i="2" s="1"/>
  <c r="S653" i="2" s="1"/>
  <c r="S656" i="2" s="1"/>
  <c r="S659" i="2" s="1"/>
  <c r="S662" i="2" s="1"/>
  <c r="S665" i="2" s="1"/>
  <c r="H14" i="3"/>
  <c r="J14" i="3" s="1"/>
  <c r="B13" i="3"/>
  <c r="G574" i="2"/>
  <c r="G577" i="2" s="1"/>
  <c r="G580" i="2" s="1"/>
  <c r="G583" i="2" s="1"/>
  <c r="G586" i="2" s="1"/>
  <c r="G589" i="2" s="1"/>
  <c r="G603" i="2" s="1"/>
  <c r="G606" i="2" s="1"/>
  <c r="G609" i="2" s="1"/>
  <c r="G612" i="2" s="1"/>
  <c r="G615" i="2" s="1"/>
  <c r="G618" i="2" s="1"/>
  <c r="R574" i="2"/>
  <c r="R577" i="2" s="1"/>
  <c r="R580" i="2" s="1"/>
  <c r="R583" i="2" s="1"/>
  <c r="R586" i="2" s="1"/>
  <c r="R589" i="2" s="1"/>
  <c r="R603" i="2" s="1"/>
  <c r="R606" i="2" s="1"/>
  <c r="R609" i="2" s="1"/>
  <c r="R612" i="2" s="1"/>
  <c r="R615" i="2" s="1"/>
  <c r="R618" i="2" s="1"/>
  <c r="E13" i="3"/>
  <c r="G13" i="3" s="1"/>
  <c r="D13" i="3" l="1"/>
  <c r="R620" i="1"/>
  <c r="R623" i="1" s="1"/>
  <c r="R626" i="1" s="1"/>
  <c r="R629" i="1" s="1"/>
  <c r="R632" i="1" s="1"/>
  <c r="R635" i="1" s="1"/>
  <c r="R650" i="1" s="1"/>
  <c r="R653" i="1" s="1"/>
  <c r="R656" i="1" s="1"/>
  <c r="R659" i="1" s="1"/>
  <c r="R662" i="1" s="1"/>
  <c r="R665" i="1" s="1"/>
  <c r="I16" i="3"/>
  <c r="Q524" i="1"/>
  <c r="Q527" i="1" s="1"/>
  <c r="Q530" i="1" s="1"/>
  <c r="Q533" i="1" s="1"/>
  <c r="Q536" i="1" s="1"/>
  <c r="Q539" i="1" s="1"/>
  <c r="Q554" i="1" s="1"/>
  <c r="Q557" i="1" s="1"/>
  <c r="Q560" i="1" s="1"/>
  <c r="Q563" i="1" s="1"/>
  <c r="Q566" i="1" s="1"/>
  <c r="Q569" i="1" s="1"/>
  <c r="F14" i="3"/>
  <c r="G524" i="1"/>
  <c r="G527" i="1" s="1"/>
  <c r="G530" i="1" s="1"/>
  <c r="G533" i="1" s="1"/>
  <c r="G536" i="1" s="1"/>
  <c r="G539" i="1" s="1"/>
  <c r="G554" i="1" s="1"/>
  <c r="G557" i="1" s="1"/>
  <c r="G560" i="1" s="1"/>
  <c r="G563" i="1" s="1"/>
  <c r="G566" i="1" s="1"/>
  <c r="G569" i="1" s="1"/>
  <c r="C14" i="3"/>
  <c r="R621" i="2"/>
  <c r="R624" i="2" s="1"/>
  <c r="R627" i="2" s="1"/>
  <c r="R630" i="2" s="1"/>
  <c r="R633" i="2" s="1"/>
  <c r="R636" i="2" s="1"/>
  <c r="R650" i="2" s="1"/>
  <c r="R653" i="2" s="1"/>
  <c r="R656" i="2" s="1"/>
  <c r="R659" i="2" s="1"/>
  <c r="R662" i="2" s="1"/>
  <c r="R665" i="2" s="1"/>
  <c r="E14" i="3"/>
  <c r="S668" i="2"/>
  <c r="S671" i="2" s="1"/>
  <c r="S674" i="2" s="1"/>
  <c r="S677" i="2" s="1"/>
  <c r="S680" i="2" s="1"/>
  <c r="S683" i="2" s="1"/>
  <c r="S697" i="2" s="1"/>
  <c r="S700" i="2" s="1"/>
  <c r="S703" i="2" s="1"/>
  <c r="S706" i="2" s="1"/>
  <c r="S709" i="2" s="1"/>
  <c r="S712" i="2" s="1"/>
  <c r="H15" i="3"/>
  <c r="J15" i="3" s="1"/>
  <c r="B14" i="3"/>
  <c r="G621" i="2"/>
  <c r="G624" i="2" s="1"/>
  <c r="G627" i="2" s="1"/>
  <c r="G630" i="2" s="1"/>
  <c r="G633" i="2" s="1"/>
  <c r="G636" i="2" s="1"/>
  <c r="G650" i="2" s="1"/>
  <c r="G653" i="2" s="1"/>
  <c r="G656" i="2" s="1"/>
  <c r="G659" i="2" s="1"/>
  <c r="G662" i="2" s="1"/>
  <c r="G665" i="2" s="1"/>
  <c r="G14" i="3" l="1"/>
  <c r="C15" i="3"/>
  <c r="G572" i="1"/>
  <c r="G575" i="1" s="1"/>
  <c r="G578" i="1" s="1"/>
  <c r="G581" i="1" s="1"/>
  <c r="G584" i="1" s="1"/>
  <c r="G587" i="1" s="1"/>
  <c r="G602" i="1" s="1"/>
  <c r="G605" i="1" s="1"/>
  <c r="G608" i="1" s="1"/>
  <c r="G611" i="1" s="1"/>
  <c r="G614" i="1" s="1"/>
  <c r="G617" i="1" s="1"/>
  <c r="D14" i="3"/>
  <c r="F15" i="3"/>
  <c r="Q572" i="1"/>
  <c r="Q575" i="1" s="1"/>
  <c r="Q578" i="1" s="1"/>
  <c r="Q581" i="1" s="1"/>
  <c r="Q584" i="1" s="1"/>
  <c r="Q587" i="1" s="1"/>
  <c r="Q602" i="1" s="1"/>
  <c r="Q605" i="1" s="1"/>
  <c r="Q608" i="1" s="1"/>
  <c r="Q611" i="1" s="1"/>
  <c r="Q614" i="1" s="1"/>
  <c r="Q617" i="1" s="1"/>
  <c r="I17" i="3"/>
  <c r="R668" i="1"/>
  <c r="R671" i="1" s="1"/>
  <c r="R674" i="1" s="1"/>
  <c r="R677" i="1" s="1"/>
  <c r="R680" i="1" s="1"/>
  <c r="R683" i="1" s="1"/>
  <c r="R698" i="1" s="1"/>
  <c r="R701" i="1" s="1"/>
  <c r="R704" i="1" s="1"/>
  <c r="R707" i="1" s="1"/>
  <c r="R710" i="1" s="1"/>
  <c r="R713" i="1" s="1"/>
  <c r="R716" i="1" s="1"/>
  <c r="R719" i="1" s="1"/>
  <c r="R722" i="1" s="1"/>
  <c r="R725" i="1" s="1"/>
  <c r="R728" i="1" s="1"/>
  <c r="R731" i="1" s="1"/>
  <c r="R746" i="1" s="1"/>
  <c r="R749" i="1" s="1"/>
  <c r="R752" i="1" s="1"/>
  <c r="R755" i="1" s="1"/>
  <c r="R758" i="1" s="1"/>
  <c r="R761" i="1" s="1"/>
  <c r="R764" i="1" s="1"/>
  <c r="R767" i="1" s="1"/>
  <c r="R770" i="1" s="1"/>
  <c r="R773" i="1" s="1"/>
  <c r="R776" i="1" s="1"/>
  <c r="R779" i="1" s="1"/>
  <c r="R794" i="1" s="1"/>
  <c r="R797" i="1" s="1"/>
  <c r="R800" i="1" s="1"/>
  <c r="R803" i="1" s="1"/>
  <c r="R806" i="1" s="1"/>
  <c r="R809" i="1" s="1"/>
  <c r="R812" i="1" s="1"/>
  <c r="R815" i="1" s="1"/>
  <c r="R818" i="1" s="1"/>
  <c r="R821" i="1" s="1"/>
  <c r="R824" i="1" s="1"/>
  <c r="R827" i="1" s="1"/>
  <c r="R842" i="1" s="1"/>
  <c r="R845" i="1" s="1"/>
  <c r="R848" i="1" s="1"/>
  <c r="R851" i="1" s="1"/>
  <c r="R854" i="1" s="1"/>
  <c r="R857" i="1" s="1"/>
  <c r="R860" i="1" s="1"/>
  <c r="R863" i="1" s="1"/>
  <c r="R866" i="1" s="1"/>
  <c r="R869" i="1" s="1"/>
  <c r="R872" i="1" s="1"/>
  <c r="R875" i="1" s="1"/>
  <c r="R890" i="1" s="1"/>
  <c r="R893" i="1" s="1"/>
  <c r="R896" i="1" s="1"/>
  <c r="R899" i="1" s="1"/>
  <c r="R902" i="1" s="1"/>
  <c r="R905" i="1" s="1"/>
  <c r="R908" i="1" s="1"/>
  <c r="R911" i="1" s="1"/>
  <c r="R914" i="1" s="1"/>
  <c r="R917" i="1" s="1"/>
  <c r="R920" i="1" s="1"/>
  <c r="R923" i="1" s="1"/>
  <c r="R938" i="1" s="1"/>
  <c r="R941" i="1" s="1"/>
  <c r="R944" i="1" s="1"/>
  <c r="R947" i="1" s="1"/>
  <c r="R950" i="1" s="1"/>
  <c r="R953" i="1" s="1"/>
  <c r="R956" i="1" s="1"/>
  <c r="R959" i="1" s="1"/>
  <c r="R962" i="1" s="1"/>
  <c r="R965" i="1" s="1"/>
  <c r="R968" i="1" s="1"/>
  <c r="R971" i="1" s="1"/>
  <c r="R986" i="1" s="1"/>
  <c r="R989" i="1" s="1"/>
  <c r="R992" i="1" s="1"/>
  <c r="R995" i="1" s="1"/>
  <c r="R998" i="1" s="1"/>
  <c r="R1001" i="1" s="1"/>
  <c r="R1004" i="1" s="1"/>
  <c r="R1007" i="1" s="1"/>
  <c r="R1010" i="1" s="1"/>
  <c r="R1013" i="1" s="1"/>
  <c r="R1016" i="1" s="1"/>
  <c r="R1019" i="1" s="1"/>
  <c r="R1034" i="1" s="1"/>
  <c r="R1037" i="1" s="1"/>
  <c r="R1040" i="1" s="1"/>
  <c r="R1043" i="1" s="1"/>
  <c r="R1046" i="1" s="1"/>
  <c r="R1049" i="1" s="1"/>
  <c r="R1052" i="1" s="1"/>
  <c r="R1055" i="1" s="1"/>
  <c r="R1058" i="1" s="1"/>
  <c r="R1061" i="1" s="1"/>
  <c r="R1064" i="1" s="1"/>
  <c r="R1067" i="1" s="1"/>
  <c r="R1082" i="1" s="1"/>
  <c r="R1085" i="1" s="1"/>
  <c r="R1088" i="1" s="1"/>
  <c r="R1091" i="1" s="1"/>
  <c r="R1094" i="1" s="1"/>
  <c r="R1097" i="1" s="1"/>
  <c r="R1100" i="1" s="1"/>
  <c r="R1103" i="1" s="1"/>
  <c r="R1106" i="1" s="1"/>
  <c r="R1109" i="1" s="1"/>
  <c r="R1112" i="1" s="1"/>
  <c r="R1115" i="1" s="1"/>
  <c r="H16" i="3"/>
  <c r="J16" i="3" s="1"/>
  <c r="S715" i="2"/>
  <c r="S718" i="2" s="1"/>
  <c r="S721" i="2" s="1"/>
  <c r="S724" i="2" s="1"/>
  <c r="S727" i="2" s="1"/>
  <c r="S730" i="2" s="1"/>
  <c r="S744" i="2" s="1"/>
  <c r="S747" i="2" s="1"/>
  <c r="S750" i="2" s="1"/>
  <c r="S753" i="2" s="1"/>
  <c r="S756" i="2" s="1"/>
  <c r="S759" i="2" s="1"/>
  <c r="R668" i="2"/>
  <c r="R671" i="2" s="1"/>
  <c r="R674" i="2" s="1"/>
  <c r="R677" i="2" s="1"/>
  <c r="R680" i="2" s="1"/>
  <c r="R683" i="2" s="1"/>
  <c r="R697" i="2" s="1"/>
  <c r="R700" i="2" s="1"/>
  <c r="R703" i="2" s="1"/>
  <c r="R706" i="2" s="1"/>
  <c r="R709" i="2" s="1"/>
  <c r="R712" i="2" s="1"/>
  <c r="E15" i="3"/>
  <c r="B15" i="3"/>
  <c r="D15" i="3" s="1"/>
  <c r="G668" i="2"/>
  <c r="G671" i="2" s="1"/>
  <c r="G674" i="2" s="1"/>
  <c r="G677" i="2" s="1"/>
  <c r="G680" i="2" s="1"/>
  <c r="G683" i="2" s="1"/>
  <c r="G697" i="2" s="1"/>
  <c r="G700" i="2" s="1"/>
  <c r="G703" i="2" s="1"/>
  <c r="G706" i="2" s="1"/>
  <c r="G709" i="2" s="1"/>
  <c r="G712" i="2" s="1"/>
  <c r="F16" i="3" l="1"/>
  <c r="Q620" i="1"/>
  <c r="Q623" i="1" s="1"/>
  <c r="Q626" i="1" s="1"/>
  <c r="Q629" i="1" s="1"/>
  <c r="Q632" i="1" s="1"/>
  <c r="Q635" i="1" s="1"/>
  <c r="Q650" i="1" s="1"/>
  <c r="Q653" i="1" s="1"/>
  <c r="Q656" i="1" s="1"/>
  <c r="Q659" i="1" s="1"/>
  <c r="Q662" i="1" s="1"/>
  <c r="Q665" i="1" s="1"/>
  <c r="G15" i="3"/>
  <c r="G620" i="1"/>
  <c r="G623" i="1" s="1"/>
  <c r="G626" i="1" s="1"/>
  <c r="G629" i="1" s="1"/>
  <c r="G632" i="1" s="1"/>
  <c r="G635" i="1" s="1"/>
  <c r="G650" i="1" s="1"/>
  <c r="G653" i="1" s="1"/>
  <c r="G656" i="1" s="1"/>
  <c r="G659" i="1" s="1"/>
  <c r="G662" i="1" s="1"/>
  <c r="G665" i="1" s="1"/>
  <c r="C16" i="3"/>
  <c r="R715" i="2"/>
  <c r="R718" i="2" s="1"/>
  <c r="R721" i="2" s="1"/>
  <c r="R724" i="2" s="1"/>
  <c r="R727" i="2" s="1"/>
  <c r="R730" i="2" s="1"/>
  <c r="R744" i="2" s="1"/>
  <c r="R747" i="2" s="1"/>
  <c r="R750" i="2" s="1"/>
  <c r="R753" i="2" s="1"/>
  <c r="R756" i="2" s="1"/>
  <c r="R759" i="2" s="1"/>
  <c r="E16" i="3"/>
  <c r="G16" i="3" s="1"/>
  <c r="B16" i="3"/>
  <c r="D16" i="3" s="1"/>
  <c r="G715" i="2"/>
  <c r="G718" i="2" s="1"/>
  <c r="G721" i="2" s="1"/>
  <c r="G724" i="2" s="1"/>
  <c r="G727" i="2" s="1"/>
  <c r="G730" i="2" s="1"/>
  <c r="G744" i="2" s="1"/>
  <c r="G747" i="2" s="1"/>
  <c r="G750" i="2" s="1"/>
  <c r="G753" i="2" s="1"/>
  <c r="G756" i="2" s="1"/>
  <c r="G759" i="2" s="1"/>
  <c r="H17" i="3"/>
  <c r="J17" i="3" s="1"/>
  <c r="S762" i="2"/>
  <c r="S765" i="2" s="1"/>
  <c r="S768" i="2" s="1"/>
  <c r="S771" i="2" s="1"/>
  <c r="S774" i="2" s="1"/>
  <c r="S777" i="2" s="1"/>
  <c r="S791" i="2" s="1"/>
  <c r="S794" i="2" s="1"/>
  <c r="S797" i="2" s="1"/>
  <c r="S800" i="2" s="1"/>
  <c r="S803" i="2" s="1"/>
  <c r="S806" i="2" s="1"/>
  <c r="S809" i="2" s="1"/>
  <c r="S812" i="2" s="1"/>
  <c r="S815" i="2" s="1"/>
  <c r="S818" i="2" s="1"/>
  <c r="S821" i="2" s="1"/>
  <c r="S824" i="2" s="1"/>
  <c r="S838" i="2" s="1"/>
  <c r="S841" i="2" s="1"/>
  <c r="S844" i="2" s="1"/>
  <c r="S847" i="2" s="1"/>
  <c r="S850" i="2" s="1"/>
  <c r="S853" i="2" s="1"/>
  <c r="S856" i="2" s="1"/>
  <c r="S859" i="2" s="1"/>
  <c r="S862" i="2" s="1"/>
  <c r="S865" i="2" s="1"/>
  <c r="S868" i="2" s="1"/>
  <c r="S871" i="2" s="1"/>
  <c r="S885" i="2" s="1"/>
  <c r="S888" i="2" s="1"/>
  <c r="S891" i="2" s="1"/>
  <c r="S894" i="2" s="1"/>
  <c r="S897" i="2" s="1"/>
  <c r="S900" i="2" s="1"/>
  <c r="S903" i="2" s="1"/>
  <c r="S906" i="2" s="1"/>
  <c r="S909" i="2" s="1"/>
  <c r="S912" i="2" s="1"/>
  <c r="S915" i="2" s="1"/>
  <c r="S918" i="2" s="1"/>
  <c r="S932" i="2" s="1"/>
  <c r="S935" i="2" s="1"/>
  <c r="S938" i="2" s="1"/>
  <c r="S941" i="2" s="1"/>
  <c r="S944" i="2" s="1"/>
  <c r="S947" i="2" s="1"/>
  <c r="S950" i="2" s="1"/>
  <c r="S953" i="2" s="1"/>
  <c r="S956" i="2" s="1"/>
  <c r="S959" i="2" s="1"/>
  <c r="S962" i="2" s="1"/>
  <c r="S965" i="2" s="1"/>
  <c r="S979" i="2" s="1"/>
  <c r="S982" i="2" s="1"/>
  <c r="S985" i="2" s="1"/>
  <c r="S988" i="2" s="1"/>
  <c r="S991" i="2" s="1"/>
  <c r="S994" i="2" s="1"/>
  <c r="S997" i="2" s="1"/>
  <c r="S1000" i="2" s="1"/>
  <c r="S1003" i="2" s="1"/>
  <c r="S1006" i="2" s="1"/>
  <c r="S1009" i="2" s="1"/>
  <c r="S1012" i="2" s="1"/>
  <c r="S1028" i="2" s="1"/>
  <c r="S1031" i="2" s="1"/>
  <c r="S1034" i="2" s="1"/>
  <c r="S1037" i="2" s="1"/>
  <c r="S1040" i="2" s="1"/>
  <c r="S1043" i="2" s="1"/>
  <c r="S1046" i="2" s="1"/>
  <c r="S1049" i="2" s="1"/>
  <c r="S1052" i="2" s="1"/>
  <c r="S1055" i="2" s="1"/>
  <c r="S1058" i="2" s="1"/>
  <c r="S1061" i="2" s="1"/>
  <c r="S1077" i="2" s="1"/>
  <c r="S1080" i="2" s="1"/>
  <c r="S1083" i="2" s="1"/>
  <c r="S1086" i="2" s="1"/>
  <c r="S1089" i="2" s="1"/>
  <c r="S1092" i="2" s="1"/>
  <c r="S1095" i="2" s="1"/>
  <c r="S1098" i="2" s="1"/>
  <c r="S1101" i="2" s="1"/>
  <c r="S1104" i="2" s="1"/>
  <c r="S1107" i="2" s="1"/>
  <c r="S1110" i="2" s="1"/>
  <c r="S1126" i="2" s="1"/>
  <c r="S1129" i="2" s="1"/>
  <c r="S1132" i="2" s="1"/>
  <c r="S1135" i="2" s="1"/>
  <c r="S1138" i="2" s="1"/>
  <c r="S1141" i="2" s="1"/>
  <c r="S1144" i="2" s="1"/>
  <c r="S1147" i="2" s="1"/>
  <c r="S1150" i="2" s="1"/>
  <c r="S1153" i="2" s="1"/>
  <c r="S1156" i="2" s="1"/>
  <c r="S1159" i="2" s="1"/>
  <c r="O1161" i="2" l="1"/>
  <c r="S1175" i="2"/>
  <c r="S1178" i="2" s="1"/>
  <c r="S1181" i="2" s="1"/>
  <c r="S1184" i="2" s="1"/>
  <c r="S1187" i="2" s="1"/>
  <c r="S1190" i="2" s="1"/>
  <c r="S1193" i="2" s="1"/>
  <c r="S1196" i="2" s="1"/>
  <c r="S1199" i="2" s="1"/>
  <c r="S1202" i="2" s="1"/>
  <c r="S1205" i="2" s="1"/>
  <c r="S1208" i="2" s="1"/>
  <c r="C17" i="3"/>
  <c r="G668" i="1"/>
  <c r="G671" i="1" s="1"/>
  <c r="G674" i="1" s="1"/>
  <c r="G677" i="1" s="1"/>
  <c r="G680" i="1" s="1"/>
  <c r="G683" i="1" s="1"/>
  <c r="G698" i="1" s="1"/>
  <c r="G701" i="1" s="1"/>
  <c r="G704" i="1" s="1"/>
  <c r="G707" i="1" s="1"/>
  <c r="G710" i="1" s="1"/>
  <c r="G713" i="1" s="1"/>
  <c r="G716" i="1" s="1"/>
  <c r="G719" i="1" s="1"/>
  <c r="G722" i="1" s="1"/>
  <c r="G725" i="1" s="1"/>
  <c r="G728" i="1" s="1"/>
  <c r="G731" i="1" s="1"/>
  <c r="G746" i="1" s="1"/>
  <c r="G749" i="1" s="1"/>
  <c r="G752" i="1" s="1"/>
  <c r="G755" i="1" s="1"/>
  <c r="G758" i="1" s="1"/>
  <c r="G761" i="1" s="1"/>
  <c r="G764" i="1" s="1"/>
  <c r="G767" i="1" s="1"/>
  <c r="G770" i="1" s="1"/>
  <c r="G773" i="1" s="1"/>
  <c r="G776" i="1" s="1"/>
  <c r="G779" i="1" s="1"/>
  <c r="G794" i="1" s="1"/>
  <c r="G797" i="1" s="1"/>
  <c r="G800" i="1" s="1"/>
  <c r="G803" i="1" s="1"/>
  <c r="G806" i="1" s="1"/>
  <c r="G809" i="1" s="1"/>
  <c r="G812" i="1" s="1"/>
  <c r="G815" i="1" s="1"/>
  <c r="G818" i="1" s="1"/>
  <c r="G821" i="1" s="1"/>
  <c r="G824" i="1" s="1"/>
  <c r="G827" i="1" s="1"/>
  <c r="G842" i="1" s="1"/>
  <c r="G845" i="1" s="1"/>
  <c r="G848" i="1" s="1"/>
  <c r="G851" i="1" s="1"/>
  <c r="G854" i="1" s="1"/>
  <c r="G857" i="1" s="1"/>
  <c r="G860" i="1" s="1"/>
  <c r="G863" i="1" s="1"/>
  <c r="G866" i="1" s="1"/>
  <c r="G869" i="1" s="1"/>
  <c r="G872" i="1" s="1"/>
  <c r="G875" i="1" s="1"/>
  <c r="G890" i="1" s="1"/>
  <c r="G893" i="1" s="1"/>
  <c r="G896" i="1" s="1"/>
  <c r="G899" i="1" s="1"/>
  <c r="G902" i="1" s="1"/>
  <c r="G905" i="1" s="1"/>
  <c r="G908" i="1" s="1"/>
  <c r="G911" i="1" s="1"/>
  <c r="G914" i="1" s="1"/>
  <c r="G917" i="1" s="1"/>
  <c r="G920" i="1" s="1"/>
  <c r="G923" i="1" s="1"/>
  <c r="F17" i="3"/>
  <c r="Q668" i="1"/>
  <c r="Q671" i="1" s="1"/>
  <c r="Q674" i="1" s="1"/>
  <c r="Q677" i="1" s="1"/>
  <c r="Q680" i="1" s="1"/>
  <c r="Q683" i="1" s="1"/>
  <c r="Q698" i="1" s="1"/>
  <c r="Q701" i="1" s="1"/>
  <c r="Q704" i="1" s="1"/>
  <c r="Q707" i="1" s="1"/>
  <c r="Q710" i="1" s="1"/>
  <c r="Q713" i="1" s="1"/>
  <c r="Q716" i="1" s="1"/>
  <c r="Q719" i="1" s="1"/>
  <c r="Q722" i="1" s="1"/>
  <c r="Q725" i="1" s="1"/>
  <c r="Q728" i="1" s="1"/>
  <c r="Q731" i="1" s="1"/>
  <c r="Q746" i="1" s="1"/>
  <c r="Q749" i="1" s="1"/>
  <c r="Q752" i="1" s="1"/>
  <c r="Q755" i="1" s="1"/>
  <c r="Q758" i="1" s="1"/>
  <c r="Q761" i="1" s="1"/>
  <c r="Q764" i="1" s="1"/>
  <c r="Q767" i="1" s="1"/>
  <c r="Q770" i="1" s="1"/>
  <c r="Q773" i="1" s="1"/>
  <c r="Q776" i="1" s="1"/>
  <c r="Q779" i="1" s="1"/>
  <c r="Q794" i="1" s="1"/>
  <c r="Q797" i="1" s="1"/>
  <c r="Q800" i="1" s="1"/>
  <c r="Q803" i="1" s="1"/>
  <c r="Q806" i="1" s="1"/>
  <c r="Q809" i="1" s="1"/>
  <c r="Q812" i="1" s="1"/>
  <c r="Q815" i="1" s="1"/>
  <c r="Q818" i="1" s="1"/>
  <c r="Q821" i="1" s="1"/>
  <c r="Q824" i="1" s="1"/>
  <c r="Q827" i="1" s="1"/>
  <c r="Q842" i="1" s="1"/>
  <c r="Q845" i="1" s="1"/>
  <c r="Q848" i="1" s="1"/>
  <c r="Q851" i="1" s="1"/>
  <c r="Q854" i="1" s="1"/>
  <c r="Q857" i="1" s="1"/>
  <c r="Q860" i="1" s="1"/>
  <c r="Q863" i="1" s="1"/>
  <c r="Q866" i="1" s="1"/>
  <c r="Q869" i="1" s="1"/>
  <c r="Q872" i="1" s="1"/>
  <c r="Q875" i="1" s="1"/>
  <c r="Q890" i="1" s="1"/>
  <c r="Q893" i="1" s="1"/>
  <c r="Q896" i="1" s="1"/>
  <c r="Q899" i="1" s="1"/>
  <c r="Q902" i="1" s="1"/>
  <c r="Q905" i="1" s="1"/>
  <c r="Q908" i="1" s="1"/>
  <c r="Q911" i="1" s="1"/>
  <c r="Q914" i="1" s="1"/>
  <c r="Q917" i="1" s="1"/>
  <c r="Q920" i="1" s="1"/>
  <c r="Q923" i="1" s="1"/>
  <c r="Q938" i="1" s="1"/>
  <c r="Q941" i="1" s="1"/>
  <c r="Q944" i="1" s="1"/>
  <c r="Q947" i="1" s="1"/>
  <c r="Q950" i="1" s="1"/>
  <c r="Q953" i="1" s="1"/>
  <c r="Q956" i="1" s="1"/>
  <c r="Q959" i="1" s="1"/>
  <c r="Q962" i="1" s="1"/>
  <c r="Q965" i="1" s="1"/>
  <c r="Q968" i="1" s="1"/>
  <c r="Q971" i="1" s="1"/>
  <c r="R762" i="2"/>
  <c r="R765" i="2" s="1"/>
  <c r="R768" i="2" s="1"/>
  <c r="R771" i="2" s="1"/>
  <c r="R774" i="2" s="1"/>
  <c r="R777" i="2" s="1"/>
  <c r="R791" i="2" s="1"/>
  <c r="R794" i="2" s="1"/>
  <c r="R797" i="2" s="1"/>
  <c r="R800" i="2" s="1"/>
  <c r="R803" i="2" s="1"/>
  <c r="R806" i="2" s="1"/>
  <c r="R809" i="2" s="1"/>
  <c r="R812" i="2" s="1"/>
  <c r="R815" i="2" s="1"/>
  <c r="R818" i="2" s="1"/>
  <c r="R821" i="2" s="1"/>
  <c r="R824" i="2" s="1"/>
  <c r="R838" i="2" s="1"/>
  <c r="R841" i="2" s="1"/>
  <c r="R844" i="2" s="1"/>
  <c r="R847" i="2" s="1"/>
  <c r="R850" i="2" s="1"/>
  <c r="R853" i="2" s="1"/>
  <c r="R856" i="2" s="1"/>
  <c r="R859" i="2" s="1"/>
  <c r="R862" i="2" s="1"/>
  <c r="R865" i="2" s="1"/>
  <c r="R868" i="2" s="1"/>
  <c r="R871" i="2" s="1"/>
  <c r="R885" i="2" s="1"/>
  <c r="R888" i="2" s="1"/>
  <c r="R891" i="2" s="1"/>
  <c r="R894" i="2" s="1"/>
  <c r="R897" i="2" s="1"/>
  <c r="R900" i="2" s="1"/>
  <c r="R903" i="2" s="1"/>
  <c r="R906" i="2" s="1"/>
  <c r="R909" i="2" s="1"/>
  <c r="R912" i="2" s="1"/>
  <c r="R915" i="2" s="1"/>
  <c r="R918" i="2" s="1"/>
  <c r="R932" i="2" s="1"/>
  <c r="R935" i="2" s="1"/>
  <c r="R938" i="2" s="1"/>
  <c r="R941" i="2" s="1"/>
  <c r="R944" i="2" s="1"/>
  <c r="R947" i="2" s="1"/>
  <c r="R950" i="2" s="1"/>
  <c r="R953" i="2" s="1"/>
  <c r="R956" i="2" s="1"/>
  <c r="R959" i="2" s="1"/>
  <c r="R962" i="2" s="1"/>
  <c r="R965" i="2" s="1"/>
  <c r="R979" i="2" s="1"/>
  <c r="R982" i="2" s="1"/>
  <c r="R985" i="2" s="1"/>
  <c r="R988" i="2" s="1"/>
  <c r="R991" i="2" s="1"/>
  <c r="R994" i="2" s="1"/>
  <c r="R997" i="2" s="1"/>
  <c r="R1000" i="2" s="1"/>
  <c r="R1003" i="2" s="1"/>
  <c r="R1006" i="2" s="1"/>
  <c r="R1009" i="2" s="1"/>
  <c r="R1012" i="2" s="1"/>
  <c r="R1028" i="2" s="1"/>
  <c r="R1031" i="2" s="1"/>
  <c r="R1034" i="2" s="1"/>
  <c r="R1037" i="2" s="1"/>
  <c r="R1040" i="2" s="1"/>
  <c r="R1043" i="2" s="1"/>
  <c r="R1046" i="2" s="1"/>
  <c r="R1049" i="2" s="1"/>
  <c r="R1052" i="2" s="1"/>
  <c r="R1055" i="2" s="1"/>
  <c r="R1058" i="2" s="1"/>
  <c r="R1061" i="2" s="1"/>
  <c r="R1077" i="2" s="1"/>
  <c r="R1080" i="2" s="1"/>
  <c r="R1083" i="2" s="1"/>
  <c r="R1086" i="2" s="1"/>
  <c r="R1089" i="2" s="1"/>
  <c r="R1092" i="2" s="1"/>
  <c r="R1095" i="2" s="1"/>
  <c r="R1098" i="2" s="1"/>
  <c r="R1101" i="2" s="1"/>
  <c r="R1104" i="2" s="1"/>
  <c r="R1107" i="2" s="1"/>
  <c r="R1110" i="2" s="1"/>
  <c r="R1126" i="2" s="1"/>
  <c r="R1129" i="2" s="1"/>
  <c r="R1132" i="2" s="1"/>
  <c r="R1135" i="2" s="1"/>
  <c r="R1138" i="2" s="1"/>
  <c r="R1141" i="2" s="1"/>
  <c r="R1144" i="2" s="1"/>
  <c r="R1147" i="2" s="1"/>
  <c r="R1150" i="2" s="1"/>
  <c r="R1153" i="2" s="1"/>
  <c r="R1156" i="2" s="1"/>
  <c r="R1159" i="2" s="1"/>
  <c r="R1175" i="2" s="1"/>
  <c r="R1178" i="2" s="1"/>
  <c r="R1181" i="2" s="1"/>
  <c r="R1184" i="2" s="1"/>
  <c r="R1187" i="2" s="1"/>
  <c r="R1190" i="2" s="1"/>
  <c r="R1193" i="2" s="1"/>
  <c r="R1196" i="2" s="1"/>
  <c r="R1199" i="2" s="1"/>
  <c r="R1202" i="2" s="1"/>
  <c r="R1205" i="2" s="1"/>
  <c r="R1208" i="2" s="1"/>
  <c r="E17" i="3"/>
  <c r="G17" i="3" s="1"/>
  <c r="G762" i="2"/>
  <c r="G765" i="2" s="1"/>
  <c r="G768" i="2" s="1"/>
  <c r="G771" i="2" s="1"/>
  <c r="G774" i="2" s="1"/>
  <c r="G777" i="2" s="1"/>
  <c r="G791" i="2" s="1"/>
  <c r="G794" i="2" s="1"/>
  <c r="G797" i="2" s="1"/>
  <c r="G800" i="2" s="1"/>
  <c r="G803" i="2" s="1"/>
  <c r="G806" i="2" s="1"/>
  <c r="G809" i="2" s="1"/>
  <c r="G812" i="2" s="1"/>
  <c r="G815" i="2" s="1"/>
  <c r="G818" i="2" s="1"/>
  <c r="G821" i="2" s="1"/>
  <c r="G824" i="2" s="1"/>
  <c r="G838" i="2" s="1"/>
  <c r="G841" i="2" s="1"/>
  <c r="G844" i="2" s="1"/>
  <c r="G847" i="2" s="1"/>
  <c r="G850" i="2" s="1"/>
  <c r="G853" i="2" s="1"/>
  <c r="G856" i="2" s="1"/>
  <c r="G859" i="2" s="1"/>
  <c r="G862" i="2" s="1"/>
  <c r="G865" i="2" s="1"/>
  <c r="G868" i="2" s="1"/>
  <c r="G871" i="2" s="1"/>
  <c r="G885" i="2" s="1"/>
  <c r="G888" i="2" s="1"/>
  <c r="G891" i="2" s="1"/>
  <c r="G894" i="2" s="1"/>
  <c r="G897" i="2" s="1"/>
  <c r="G900" i="2" s="1"/>
  <c r="G903" i="2" s="1"/>
  <c r="G906" i="2" s="1"/>
  <c r="G909" i="2" s="1"/>
  <c r="G912" i="2" s="1"/>
  <c r="G915" i="2" s="1"/>
  <c r="G918" i="2" s="1"/>
  <c r="G932" i="2" s="1"/>
  <c r="G935" i="2" s="1"/>
  <c r="G938" i="2" s="1"/>
  <c r="G941" i="2" s="1"/>
  <c r="G944" i="2" s="1"/>
  <c r="G947" i="2" s="1"/>
  <c r="G950" i="2" s="1"/>
  <c r="G953" i="2" s="1"/>
  <c r="G956" i="2" s="1"/>
  <c r="G959" i="2" s="1"/>
  <c r="G962" i="2" s="1"/>
  <c r="G965" i="2" s="1"/>
  <c r="G979" i="2" s="1"/>
  <c r="G982" i="2" s="1"/>
  <c r="G985" i="2" s="1"/>
  <c r="G988" i="2" s="1"/>
  <c r="G991" i="2" s="1"/>
  <c r="G994" i="2" s="1"/>
  <c r="G997" i="2" s="1"/>
  <c r="G1000" i="2" s="1"/>
  <c r="G1003" i="2" s="1"/>
  <c r="G1006" i="2" s="1"/>
  <c r="G1009" i="2" s="1"/>
  <c r="G1012" i="2" s="1"/>
  <c r="G1028" i="2" s="1"/>
  <c r="G1031" i="2" s="1"/>
  <c r="G1034" i="2" s="1"/>
  <c r="G1037" i="2" s="1"/>
  <c r="G1040" i="2" s="1"/>
  <c r="G1043" i="2" s="1"/>
  <c r="G1046" i="2" s="1"/>
  <c r="G1049" i="2" s="1"/>
  <c r="G1052" i="2" s="1"/>
  <c r="G1055" i="2" s="1"/>
  <c r="G1058" i="2" s="1"/>
  <c r="G1061" i="2" s="1"/>
  <c r="G1077" i="2" s="1"/>
  <c r="G1080" i="2" s="1"/>
  <c r="G1083" i="2" s="1"/>
  <c r="G1086" i="2" s="1"/>
  <c r="G1089" i="2" s="1"/>
  <c r="G1092" i="2" s="1"/>
  <c r="G1095" i="2" s="1"/>
  <c r="G1098" i="2" s="1"/>
  <c r="G1101" i="2" s="1"/>
  <c r="G1104" i="2" s="1"/>
  <c r="G1107" i="2" s="1"/>
  <c r="G1110" i="2" s="1"/>
  <c r="G1126" i="2" s="1"/>
  <c r="G1129" i="2" s="1"/>
  <c r="G1132" i="2" s="1"/>
  <c r="G1135" i="2" s="1"/>
  <c r="G1138" i="2" s="1"/>
  <c r="G1141" i="2" s="1"/>
  <c r="G1144" i="2" s="1"/>
  <c r="G1147" i="2" s="1"/>
  <c r="G1150" i="2" s="1"/>
  <c r="G1153" i="2" s="1"/>
  <c r="G1156" i="2" s="1"/>
  <c r="G1159" i="2" s="1"/>
  <c r="B17" i="3"/>
  <c r="D17" i="3" l="1"/>
  <c r="Q986" i="1"/>
  <c r="Q989" i="1" s="1"/>
  <c r="Q992" i="1" s="1"/>
  <c r="Q995" i="1" s="1"/>
  <c r="Q998" i="1" s="1"/>
  <c r="Q1001" i="1" s="1"/>
  <c r="Q1004" i="1" s="1"/>
  <c r="Q1007" i="1" s="1"/>
  <c r="Q1010" i="1" s="1"/>
  <c r="Q1013" i="1" s="1"/>
  <c r="Q1016" i="1" s="1"/>
  <c r="Q1019" i="1" s="1"/>
  <c r="Q1034" i="1" s="1"/>
  <c r="Q1037" i="1" s="1"/>
  <c r="Q1040" i="1" s="1"/>
  <c r="Q1043" i="1" s="1"/>
  <c r="Q1046" i="1" s="1"/>
  <c r="Q1049" i="1" s="1"/>
  <c r="Q1052" i="1" s="1"/>
  <c r="Q1055" i="1" s="1"/>
  <c r="Q1058" i="1" s="1"/>
  <c r="Q1061" i="1" s="1"/>
  <c r="Q1064" i="1" s="1"/>
  <c r="Q1067" i="1" s="1"/>
  <c r="Q1082" i="1" s="1"/>
  <c r="Q1085" i="1" s="1"/>
  <c r="Q1088" i="1" s="1"/>
  <c r="Q1091" i="1" s="1"/>
  <c r="Q1094" i="1" s="1"/>
  <c r="Q1097" i="1" s="1"/>
  <c r="Q1100" i="1" s="1"/>
  <c r="Q1103" i="1" s="1"/>
  <c r="Q1106" i="1" s="1"/>
  <c r="Q1109" i="1" s="1"/>
  <c r="Q1112" i="1" s="1"/>
  <c r="Q1115" i="1" s="1"/>
  <c r="O973" i="1"/>
  <c r="W925" i="1"/>
  <c r="G938" i="1"/>
  <c r="G941" i="1" s="1"/>
  <c r="G944" i="1" s="1"/>
  <c r="G947" i="1" s="1"/>
  <c r="G950" i="1" s="1"/>
  <c r="G953" i="1" s="1"/>
  <c r="G956" i="1" s="1"/>
  <c r="G959" i="1" s="1"/>
  <c r="G962" i="1" s="1"/>
  <c r="G965" i="1" s="1"/>
  <c r="G968" i="1" s="1"/>
  <c r="G971" i="1" s="1"/>
  <c r="P1161" i="2"/>
  <c r="G1175" i="2"/>
  <c r="G1178" i="2" s="1"/>
  <c r="G1181" i="2" s="1"/>
  <c r="G1184" i="2" s="1"/>
  <c r="G1187" i="2" s="1"/>
  <c r="G1190" i="2" s="1"/>
  <c r="G1193" i="2" s="1"/>
  <c r="G1196" i="2" s="1"/>
  <c r="G1199" i="2" s="1"/>
  <c r="G1202" i="2" s="1"/>
  <c r="G1205" i="2" s="1"/>
  <c r="G1208" i="2" s="1"/>
  <c r="W973" i="1" l="1"/>
  <c r="W974" i="1" s="1"/>
  <c r="G986" i="1"/>
  <c r="G989" i="1" s="1"/>
  <c r="G992" i="1" s="1"/>
  <c r="G995" i="1" s="1"/>
  <c r="G998" i="1" s="1"/>
  <c r="G1001" i="1" s="1"/>
  <c r="G1004" i="1" s="1"/>
  <c r="G1007" i="1" s="1"/>
  <c r="G1010" i="1" s="1"/>
  <c r="G1013" i="1" s="1"/>
  <c r="G1016" i="1" s="1"/>
  <c r="G1019" i="1" s="1"/>
  <c r="G1034" i="1" s="1"/>
  <c r="G1037" i="1" s="1"/>
  <c r="G1040" i="1" s="1"/>
  <c r="G1043" i="1" s="1"/>
  <c r="G1046" i="1" s="1"/>
  <c r="G1049" i="1" s="1"/>
  <c r="G1052" i="1" s="1"/>
  <c r="G1055" i="1" s="1"/>
  <c r="G1058" i="1" s="1"/>
  <c r="G1061" i="1" s="1"/>
  <c r="G1064" i="1" s="1"/>
  <c r="G1067" i="1" s="1"/>
  <c r="G1082" i="1" s="1"/>
  <c r="G1085" i="1" s="1"/>
  <c r="G1088" i="1" s="1"/>
  <c r="G1091" i="1" s="1"/>
  <c r="G1094" i="1" s="1"/>
  <c r="G1097" i="1" s="1"/>
  <c r="G1100" i="1" s="1"/>
  <c r="G1103" i="1" s="1"/>
  <c r="G1106" i="1" s="1"/>
  <c r="G1109" i="1" s="1"/>
  <c r="G1112" i="1" s="1"/>
  <c r="G1115" i="1" s="1"/>
</calcChain>
</file>

<file path=xl/sharedStrings.xml><?xml version="1.0" encoding="utf-8"?>
<sst xmlns="http://schemas.openxmlformats.org/spreadsheetml/2006/main" count="4342" uniqueCount="256">
  <si>
    <t>METROPOLITAN'S HYDROELECTRIC POWER RECOVERY PLANT GROSS REVENUE FOR C.Y. 1991</t>
  </si>
  <si>
    <t>C:\SYMPH2\SPRDSHT\HYDRO\HISTCSTA.WR1</t>
  </si>
  <si>
    <t>---------------------------------</t>
  </si>
  <si>
    <t>--------------------</t>
  </si>
  <si>
    <t>---------------</t>
  </si>
  <si>
    <t>A:\HISTCSTA.WR1</t>
  </si>
  <si>
    <t>Gross Revenue, Dollars</t>
  </si>
  <si>
    <t>Monthly</t>
  </si>
  <si>
    <t xml:space="preserve">  &lt;----------------------- PHASE I --------------------------&gt;</t>
  </si>
  <si>
    <t>&lt;------------------------------------------------ PHASE II - IV ------------------------------------------------&gt;</t>
  </si>
  <si>
    <t>Total</t>
  </si>
  <si>
    <t>Greg</t>
  </si>
  <si>
    <t>Lake</t>
  </si>
  <si>
    <t>Foothill</t>
  </si>
  <si>
    <t>San</t>
  </si>
  <si>
    <t>Yorba</t>
  </si>
  <si>
    <t>Sub</t>
  </si>
  <si>
    <t xml:space="preserve">Sepulveda </t>
  </si>
  <si>
    <t>Rio</t>
  </si>
  <si>
    <t>Coyote</t>
  </si>
  <si>
    <t>Red</t>
  </si>
  <si>
    <t>Valley</t>
  </si>
  <si>
    <t>to</t>
  </si>
  <si>
    <t>Ave</t>
  </si>
  <si>
    <t>Mathews</t>
  </si>
  <si>
    <t>Feeder</t>
  </si>
  <si>
    <t>Dimas</t>
  </si>
  <si>
    <t>Linda</t>
  </si>
  <si>
    <t>-Total</t>
  </si>
  <si>
    <t>Canyon</t>
  </si>
  <si>
    <t>Venice</t>
  </si>
  <si>
    <t>Temescal</t>
  </si>
  <si>
    <t>Corona</t>
  </si>
  <si>
    <t>Perris</t>
  </si>
  <si>
    <t>Hondo</t>
  </si>
  <si>
    <t>Creek</t>
  </si>
  <si>
    <t>Mountain</t>
  </si>
  <si>
    <t>View</t>
  </si>
  <si>
    <t>Date</t>
  </si>
  <si>
    <t>-----</t>
  </si>
  <si>
    <t>-------</t>
  </si>
  <si>
    <t>JAN</t>
  </si>
  <si>
    <t>Y-T-D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</si>
  <si>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</si>
  <si>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</si>
  <si>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</si>
  <si>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</si>
  <si>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</si>
  <si>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</si>
  <si>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</si>
  <si>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</si>
  <si>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</si>
  <si>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</si>
  <si>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</si>
  <si>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|::</t>
  </si>
  <si>
    <t>METROPOLITAN'S HYDROELECTRIC POWER RECOVERY PLANT GROSS REVENUE FOR C.Y. 1992</t>
  </si>
  <si>
    <t>TOTAL</t>
  </si>
  <si>
    <t>FY-TD</t>
  </si>
  <si>
    <t>METROPOLITAN'S HYDROELECTRIC POWER RECOVERY PLANT GROSS REVENUE FOR C.Y. 1993</t>
  </si>
  <si>
    <t>METROPOLITAN'S HYDROELECTRIC POWER RECOVERY PLANT GROSS REVENUE FOR C.Y. 1994</t>
  </si>
  <si>
    <t xml:space="preserve"> </t>
  </si>
  <si>
    <t xml:space="preserve">  Eti-</t>
  </si>
  <si>
    <t xml:space="preserve">  Wanda</t>
  </si>
  <si>
    <t xml:space="preserve">  -----</t>
  </si>
  <si>
    <t>METROPOLITAN'S HYDROELECTRIC POWER RECOVERY PLANT GROSS REVENUE FOR C.Y. 1995</t>
  </si>
  <si>
    <t>C:HISTCSTA.XLS</t>
  </si>
  <si>
    <t>METROPOLITAN'S HYDROELECTRIC POWER RECOVERY PLANT GROSS REVENUE FOR C.Y. 1996</t>
  </si>
  <si>
    <t>PHASE I</t>
  </si>
  <si>
    <t>PHASE II-IV</t>
  </si>
  <si>
    <t xml:space="preserve">    Eti-</t>
  </si>
  <si>
    <t>Monthly Total</t>
  </si>
  <si>
    <t>To Date</t>
  </si>
  <si>
    <t>METROPOLITAN'S HYDROELECTRIC POWER RECOVERY PLANT GROSS REVENUE FOR C.Y. 1997</t>
  </si>
  <si>
    <t xml:space="preserve"> PHASE I</t>
  </si>
  <si>
    <t xml:space="preserve">       PHASE II-IV</t>
  </si>
  <si>
    <t>NOTE: /1</t>
  </si>
  <si>
    <t>NOTE:  /1   October,1997 Subtotal for Phase II-IV includes  a one-time adjustment charge of $345,944.91 from April 1993 through September 1996</t>
  </si>
  <si>
    <t xml:space="preserve">                     Total Purchase II-IV Charge for 10/97 is $315,403.13 + $345,944.91= $661,348.04</t>
  </si>
  <si>
    <t>METROPOLITAN'S HYDROELECTRIC POWER RECOVERY PLANT GROSS REVENUE FOR C.Y. 1998</t>
  </si>
  <si>
    <t xml:space="preserve">  Wanda 1/</t>
  </si>
  <si>
    <t>1/ Etiwanda June and July 98 revenues adjusted to reflect post-settlement reduction to June 98 bill.  Initially the June price reduction was credited to July 98 bill.</t>
  </si>
  <si>
    <t>METROPOLITAN'S HYDROELECTRIC POWER RECOVERY PLANT GROSS REVENUE FOR C.Y. 1999</t>
  </si>
  <si>
    <t xml:space="preserve">  Wanda </t>
  </si>
  <si>
    <t>1/</t>
  </si>
  <si>
    <t>Note: 1. July 1999, Phase II-IV total includes a $2.48 credit to "true-up" Edison overpayments.</t>
  </si>
  <si>
    <t>Power Resources 11/11/99</t>
  </si>
  <si>
    <t>O:\bill\acctg_98\pwr_ops\mwd_hyd\hyd$&amp;eng.xls</t>
  </si>
  <si>
    <t>METROPOLITAN'S HYDROELECTRIC POWER RECOVERY PLANT GROSS REVENUE FOR C.Y. 2000</t>
  </si>
  <si>
    <t>METROPOLITAN'S HYDROELECTRIC POWER RECOVERY PLANT GENERATION FOR C.Y. 1997</t>
  </si>
  <si>
    <t>JUNK- see BOTTOM OF THIS SHEET BELOW SYM FILE</t>
  </si>
  <si>
    <t>START</t>
  </si>
  <si>
    <t>METROPOLITAN'S HYDROELECTRIC POWER RECOVERY PLANT GENERATION FOR C.Y. 1990</t>
  </si>
  <si>
    <t>C:\SYMPH2\SPRDSHT\HYDRO\HISTKWHR</t>
  </si>
  <si>
    <t xml:space="preserve">       Generation, kWh</t>
  </si>
  <si>
    <t xml:space="preserve">  &lt;------------------PHASE I---------------------&gt;</t>
  </si>
  <si>
    <t>&lt;-------------------------------------------PHASE II - IV---------------------------------------&gt;</t>
  </si>
  <si>
    <t>‚::</t>
  </si>
  <si>
    <t>METROPOLITAN'S HYDROELECTRIC POWER RECOVERY PLANT GENERATION FOR C.Y. 1991</t>
  </si>
  <si>
    <t>METROPOLITAN'S HYDROELECTRIC POWER RECOVERY PLANT GENERATION FOR C.Y. 1992</t>
  </si>
  <si>
    <t>METROPOLITAN'S HYDROELECTRIC POWER RECOVERY PLANT GENERATION FOR C.Y. 1993</t>
  </si>
  <si>
    <t>C:\SYMPH2\HYDRO\HSTKWHRC.WR1</t>
  </si>
  <si>
    <t>METROPOLITAN'S HYDROELECTRIC POWER RECOVERY PLANT GENERATION FOR C.Y. 1994</t>
  </si>
  <si>
    <t>Eti-</t>
  </si>
  <si>
    <t>wanda</t>
  </si>
  <si>
    <t>METROPOLITAN'S HYDROELECTRIC POWER RECOVERY PLANT GENERATION FOR C.Y. 1995</t>
  </si>
  <si>
    <t/>
  </si>
  <si>
    <t>METROPOLITAN'S HYDROELECTRIC POWER RECOVERY PLANT GENERATION FOR C.Y. 1996</t>
  </si>
  <si>
    <t>Generation, kWh</t>
  </si>
  <si>
    <t xml:space="preserve">  &lt;-----------------------------PHASE I-------------------------------&gt;</t>
  </si>
  <si>
    <t>&lt;-----------------------------------------------------------------------------------PHASE II - IV----------------------------------------------&gt;</t>
  </si>
  <si>
    <t>METROPOLITAN'S HYDROELECTRIC POWER RECOVERY PLANT GENERATION FOR C.Y. 1998</t>
  </si>
  <si>
    <t>METROPOLITAN'S HYDROELECTRIC POWER RECOVERY PLANT GENERATION FOR C.Y. 1999</t>
  </si>
  <si>
    <t xml:space="preserve">  PHASE I</t>
  </si>
  <si>
    <t>PHASE II - IV</t>
  </si>
  <si>
    <t>Eti</t>
  </si>
  <si>
    <t>Wanda</t>
  </si>
  <si>
    <t>Power Resources 1/12/2000</t>
  </si>
  <si>
    <t>METROPOLITAN'S HYDROELECTRIC POWER RECOVERY PLANT GENERATION FOR C.Y. 2000</t>
  </si>
  <si>
    <t>Power Resources 1/04/2001</t>
  </si>
  <si>
    <t>METROPOLITAN'S HYDROELECTRIC POWER RECOVERY PLANT GENERATION FOR C.Y. 2001</t>
  </si>
  <si>
    <t>METROPOLITAN'S HYDROELECTRIC POWER RECOVERY PLANT GROSS REVENUE FOR C.Y. 2001</t>
  </si>
  <si>
    <t>Power Resources 4/24/2001</t>
  </si>
  <si>
    <t>q:\opsexec\power resources\esfahani\historical\hyd$&amp;eng.xls</t>
  </si>
  <si>
    <t>METROPOLITAN'S HYDROELECTRIC POWER RECOVERY PLANT GENERATION FOR C.Y. 2002</t>
  </si>
  <si>
    <t>METROPOLITAN'S HYDROELECTRIC POWER RECOVERY PLANT GROSS REVENUE FOR C.Y. 2002</t>
  </si>
  <si>
    <t>Power Resources 7/5/2002</t>
  </si>
  <si>
    <t xml:space="preserve">Diamond </t>
  </si>
  <si>
    <t>Diamond</t>
  </si>
  <si>
    <t>1/ Actual Generation</t>
  </si>
  <si>
    <t>Wanda 1/</t>
  </si>
  <si>
    <t>Valley 1/</t>
  </si>
  <si>
    <t>1/ Prescheduled Sales revenue to third parties. Source: Invoices to third parties.</t>
  </si>
  <si>
    <t>METROPOLITAN'S HYDROELECTRIC POWER RECOVERY PLANT GROSS REVENUE FOR C.Y. 2003</t>
  </si>
  <si>
    <t>METROPOLITAN'S HYDROELECTRIC POWER RECOVERY PLANT GENERATION FOR C.Y. 2003</t>
  </si>
  <si>
    <t>CEC</t>
  </si>
  <si>
    <t>(Bonus)</t>
  </si>
  <si>
    <t>ISO</t>
  </si>
  <si>
    <t>Net (1)</t>
  </si>
  <si>
    <t>Etiwanda</t>
  </si>
  <si>
    <t>Deviation</t>
  </si>
  <si>
    <t>METROPOLITAN'S HYDROELECTRIC POWER RECOVERY PLANT GENERATION FOR C.Y. 2004</t>
  </si>
  <si>
    <t>METROPOLITAN'S HYDROELECTRIC POWER RECOVERY PLANT GROSS REVENUE FOR C.Y. 2004</t>
  </si>
  <si>
    <t>2/ Imbalance energy reported 3 months after the occurance.</t>
  </si>
  <si>
    <t>Net /2</t>
  </si>
  <si>
    <t>&lt;= New FY-T-DATE. Zero out previous month's cell refernece</t>
  </si>
  <si>
    <t>Etiwanda Dev should be BUT WAS NOT included in total PAGE 3 Monthly $ (also Here)</t>
  </si>
  <si>
    <t>Monthly $ okay.</t>
  </si>
  <si>
    <t xml:space="preserve">Etiwanda Dev different ($ 0.15) due to revised worksheet computation methods </t>
  </si>
  <si>
    <t>ISO Net $ should be BUT WAS NOT included in Total Page 3 Monthly total (also here)</t>
  </si>
  <si>
    <t>Sales were 210,000 kwhr. Omar Value 217,126.9 kwhr.</t>
  </si>
  <si>
    <t>2/ Mar '03 CEC Bonus  &amp; ISO Imbalance reporting began. Y-T-D $127,894.61 (CEC)  &amp; $12,508.57 (ISO) previously billed</t>
  </si>
  <si>
    <t>start</t>
  </si>
  <si>
    <t>FY 1994</t>
  </si>
  <si>
    <t>FY 1995</t>
  </si>
  <si>
    <t>FY 1996</t>
  </si>
  <si>
    <t>FY 1997</t>
  </si>
  <si>
    <t>FY 1998</t>
  </si>
  <si>
    <t>FY 1999</t>
  </si>
  <si>
    <t>FY 2000</t>
  </si>
  <si>
    <t>FY 2001</t>
  </si>
  <si>
    <t>FY 2002</t>
  </si>
  <si>
    <t>FY 2003</t>
  </si>
  <si>
    <t>FY 2004</t>
  </si>
  <si>
    <t>Phase I</t>
  </si>
  <si>
    <t>$</t>
  </si>
  <si>
    <t>$/MWh</t>
  </si>
  <si>
    <t>Phase II-IV</t>
  </si>
  <si>
    <t>$/MWH</t>
  </si>
  <si>
    <t>Rounding on Phase II-IV</t>
  </si>
  <si>
    <t>Revised ETI Generation (8/3/04)</t>
  </si>
  <si>
    <t>Power Resources 8/25/2004</t>
  </si>
  <si>
    <t>/2</t>
  </si>
  <si>
    <t>METROPOLITAN'S HYDROELECTRIC POWER RECOVERY PLANT GROSS REVENUE FOR C.Y. 2005</t>
  </si>
  <si>
    <t>Etiwanda telem ???</t>
  </si>
  <si>
    <t>METROPOLITAN'S HYDROELECTRIC POWER RECOVERY PLANT GENERATION FOR C.Y. 2005</t>
  </si>
  <si>
    <t>Note: Phase I Jan &amp; Feb '05 Revenue trued-up on plant basis</t>
  </si>
  <si>
    <t>METROPOLITAN'S HYDROELECTRIC POWER RECOVERY PLANT GENERATION FOR C.Y. 2006</t>
  </si>
  <si>
    <t>METROPOLITAN'S HYDROELECTRIC POWER RECOVERY PLANT GROSS REVENUE FOR C.Y. 2006</t>
  </si>
  <si>
    <t>1/ Actual Generation (Phase I, II-IV, Etiwanda and Diamond Valley)</t>
  </si>
  <si>
    <t>Total 2/</t>
  </si>
  <si>
    <t>2/ Monthly Total includes Phase I , II-IV, Etiwanda and Diamond Valley generation only.</t>
  </si>
  <si>
    <t>Total 3/</t>
  </si>
  <si>
    <t>3/ Monthly Total includes Phase I , II-IV, Etiwanda and Diamond Valley generation only.</t>
  </si>
  <si>
    <t>Net (2)</t>
  </si>
  <si>
    <t>2/ ISO (Imbalance Market) includes a $16,617.15 debit and a $5,962.89 credit (June '06)</t>
  </si>
  <si>
    <t>METROPOLITAN'S HYDROELECTRIC POWER RECOVERY PLANT GENERATION FOR C.Y. 2007</t>
  </si>
  <si>
    <t>METROPOLITAN'S HYDROELECTRIC POWER RECOVERY PLANT GROSS REVENUE FOR C.Y. 2007</t>
  </si>
  <si>
    <t>verify ETI gen =&gt; ETI Dev.</t>
  </si>
  <si>
    <t>Power Resources 6/8/2007</t>
  </si>
  <si>
    <t>Net</t>
  </si>
  <si>
    <t>Power Resources 11/15/2007</t>
  </si>
  <si>
    <t>Power Resources 1/11/2008</t>
  </si>
  <si>
    <t xml:space="preserve">3/ Monthly Total includes Phase I , II-IV, Etiwanda and Diamond Valley generation only. </t>
  </si>
  <si>
    <t>1/ Actual Generation. Updated 2/7/08 Phase I Generation due to late metering values. Mar: Ft Hl, SD &amp;, YL  Apr:YL Jul: LM &amp; SD</t>
  </si>
  <si>
    <t>1/ Actual Revenue changed Updated 2/7/08 Phase I Generation due to late metering values. Mar: Ft Hl, SD &amp;, YL  Apr:YL Jul: LM &amp; SD</t>
  </si>
  <si>
    <t>METROPOLITAN'S HYDROELECTRIC POWER RECOVERY PLANT GENERATION FOR C.Y. 2008</t>
  </si>
  <si>
    <t>METROPOLITAN'S HYDROELECTRIC POWER RECOVERY PLANT GROSS REVENUE FOR C.Y. 2008</t>
  </si>
  <si>
    <t>Revised Power Resources 3/4/2008</t>
  </si>
  <si>
    <t>Power Resources 1/27/2009</t>
  </si>
  <si>
    <t>ISO Net included in total was not included on H10 -pg3</t>
  </si>
  <si>
    <t>METROPOLITAN'S HYDROELECTRIC POWER RECOVERY PLANT GROSS REVENUE FOR C.Y. 2009</t>
  </si>
  <si>
    <t>METROPOLITAN'S HYDROELECTRIC POWER RECOVERY PLANT GENERATION FOR C.Y. 2009</t>
  </si>
  <si>
    <t>Power Resources 4/27/2009</t>
  </si>
  <si>
    <t>ESTIMATED REVENUE</t>
  </si>
  <si>
    <t>est</t>
  </si>
  <si>
    <t>METROPOLITAN'S HYDROELECTRIC POWER RECOVERY PLANT GENERATION FOR C.Y. 2010</t>
  </si>
  <si>
    <t>METROPOLITAN'S HYDROELECTRIC POWER RECOVERY PLANT GROSS REVENUE FOR C.Y. 2010</t>
  </si>
  <si>
    <t>CY '09</t>
  </si>
  <si>
    <t>CY09 SCPPA Total</t>
  </si>
  <si>
    <t>KWh</t>
  </si>
  <si>
    <t>ph2</t>
  </si>
  <si>
    <t>scppa</t>
  </si>
  <si>
    <t xml:space="preserve"> ==&gt; Pending</t>
  </si>
  <si>
    <r>
      <t xml:space="preserve">1/ Prescheduled Sales revenue to third parties. Source: Invoices to third parties. </t>
    </r>
    <r>
      <rPr>
        <b/>
        <sz val="10"/>
        <color indexed="12"/>
        <rFont val="Times New Roman"/>
        <family val="1"/>
      </rPr>
      <t>Sepulveda June and July 2010 Amounts were what was invoiced to LADW</t>
    </r>
    <r>
      <rPr>
        <sz val="10"/>
        <rFont val="Times New Roman"/>
        <family val="1"/>
      </rPr>
      <t>P</t>
    </r>
  </si>
  <si>
    <r>
      <t xml:space="preserve">1/ Actual Generation. </t>
    </r>
    <r>
      <rPr>
        <b/>
        <sz val="10"/>
        <color indexed="10"/>
        <rFont val="Times New Roman"/>
        <family val="1"/>
      </rPr>
      <t>June &amp; July 2010 Sepulveda Generation revised to reflect Actual LADWP recorded Generation</t>
    </r>
  </si>
  <si>
    <t>4/ Yellow highlight includes SCE True-up</t>
  </si>
  <si>
    <t>Power Resources 1/25/2011</t>
  </si>
  <si>
    <t>4/</t>
  </si>
  <si>
    <t>/3 Sept 09 to Nov 10 SCE revenue true up. Venice ($946.85), Temescal ($9,280.16), Corona ($8,812.09), Red Mtn ($43,922.47) Total true-up $62,961.57</t>
  </si>
  <si>
    <t>METROPOLITAN'S HYDROELECTRIC POWER RECOVERY PLANT GENERATION FOR C.Y. 2011</t>
  </si>
  <si>
    <t>METROPOLITAN'S HYDROELECTRIC POWER RECOVERY PLANT GROSS REVENUE FOR C.Y. 2011</t>
  </si>
  <si>
    <r>
      <t xml:space="preserve">1/ Prescheduled Sales revenue to third parties. Source: Invoices to third parties. </t>
    </r>
    <r>
      <rPr>
        <b/>
        <sz val="10"/>
        <color indexed="12"/>
        <rFont val="Times New Roman"/>
        <family val="1"/>
      </rPr>
      <t/>
    </r>
  </si>
  <si>
    <t>Power Resources 3/7/2011</t>
  </si>
  <si>
    <t>3/8/11 Revised Sepulveda &amp; DVL Revenue</t>
  </si>
  <si>
    <t xml:space="preserve">SCE </t>
  </si>
  <si>
    <t>SCPPA</t>
  </si>
  <si>
    <t xml:space="preserve">1/ Actual Generation. </t>
  </si>
  <si>
    <t>FY 11 Until the end of the year</t>
  </si>
  <si>
    <t>/2 Includes a $2,476.58 Deviation Feb '10 credit to SCPPA -Included in Coyote Creek Sub-total (Originally in April '10 SCE total)</t>
  </si>
  <si>
    <t>= Prelim $$$</t>
  </si>
  <si>
    <t>= Prelim MWD Generation Values</t>
  </si>
  <si>
    <t>= Prelim MWD $ Values</t>
  </si>
  <si>
    <t>Power Resources 12/13/2011</t>
  </si>
  <si>
    <t>12/13/11 Etiwanda aggragate credits included in December</t>
  </si>
  <si>
    <t>12/13/11 Final Ettwanda Schedule added in Eti Deviation column</t>
  </si>
  <si>
    <t>Power Resources 1/19/2012</t>
  </si>
  <si>
    <t>METROPOLITAN'S HYDROELECTRIC POWER RECOVERY PLANT GROSS REVENUE FOR C.Y. 2012</t>
  </si>
  <si>
    <t>METROPOLITAN'S HYDROELECTRIC POWER RECOVERY PLANT GENERATION FOR C.Y. 2012</t>
  </si>
  <si>
    <t>Power Resources 1/23/2013</t>
  </si>
  <si>
    <t>METROPOLITAN'S HYDROELECTRIC POWER RECOVERY PLANT GROSS REVENUE FOR C.Y. 2013</t>
  </si>
  <si>
    <t>METROPOLITAN'S HYDROELECTRIC POWER RECOVERY PLANT GENERATION FOR C.Y. 2013</t>
  </si>
  <si>
    <t>SCE</t>
  </si>
  <si>
    <t>CY Tot</t>
  </si>
  <si>
    <t>ETI-sales</t>
  </si>
  <si>
    <t>ok</t>
  </si>
  <si>
    <t>METROPOLITAN'S HYDROELECTRIC POWER RECOVERY PLANT GROSS REVENUE FOR C.Y. 2014</t>
  </si>
  <si>
    <t>Energy America</t>
  </si>
  <si>
    <t>METROPOLITAN'S HYDROELECTRIC POWER RECOVERY PLANT GENERATION FOR C.Y. 2014</t>
  </si>
  <si>
    <t>Power Resources 1/14/2015</t>
  </si>
  <si>
    <t>METROPOLITAN'S HYDROELECTRIC POWER RECOVERY PLANT GROSS REVENUE FOR C.Y. 2015</t>
  </si>
  <si>
    <t>METROPOLITAN'S HYDROELECTRIC POWER RECOVERY PLANT GENERATION FOR C.Y. 2015</t>
  </si>
  <si>
    <t>Eng-Am</t>
  </si>
  <si>
    <t>Net Gen</t>
  </si>
  <si>
    <t>Power Resources 10/21/2015</t>
  </si>
  <si>
    <t>4/ Etiwanda Test Generation . July 2015.</t>
  </si>
  <si>
    <t>Power Resources 11/4/2015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</si>
</sst>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hh:mm\ AM/PM_)"/>
    <numFmt numFmtId="165" formatCode="dd\-mmm\-yy_)"/>
    <numFmt numFmtId="166" formatCode="_(* #,##0_);_(* \(#,##0\);_(* &quot;-&quot;??_);_(@_)"/>
  </numFmts>
  <fonts count="29" x14ac:knownFonts="1">
    <font>
      <sz val="10"/>
      <name val="Times New Roman"/>
    </font>
    <font>
      <b/>
      <sz val="10"/>
      <name val="Times New Roman"/>
      <family val="1"/>
    </font>
    <font>
      <sz val="10"/>
      <name val="Times New Roman"/>
      <family val="1"/>
    </font>
    <font>
      <sz val="8"/>
      <name val="Times New Roman"/>
      <family val="1"/>
    </font>
    <font>
      <u/>
      <sz val="8"/>
      <name val="Times New Roman"/>
      <family val="1"/>
    </font>
    <font>
      <b/>
      <sz val="18"/>
      <name val="Times New Roman"/>
      <family val="1"/>
    </font>
    <font>
      <b/>
      <sz val="16"/>
      <name val="Times New Roman"/>
      <family val="1"/>
    </font>
    <font>
      <b/>
      <sz val="8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b/>
      <u/>
      <sz val="18"/>
      <name val="Times New Roman"/>
      <family val="1"/>
    </font>
    <font>
      <u/>
      <sz val="12"/>
      <name val="Times New Roman"/>
      <family val="1"/>
    </font>
    <font>
      <b/>
      <u/>
      <sz val="8"/>
      <name val="Times New Roman"/>
      <family val="1"/>
    </font>
    <font>
      <b/>
      <sz val="8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b/>
      <u/>
      <sz val="8"/>
      <name val="Times New Roman"/>
      <family val="1"/>
    </font>
    <font>
      <b/>
      <sz val="18"/>
      <name val="Courier"/>
      <family val="3"/>
    </font>
    <font>
      <b/>
      <sz val="22"/>
      <name val="Times New Roman"/>
      <family val="1"/>
    </font>
    <font>
      <b/>
      <sz val="22"/>
      <name val="Times New Roman"/>
      <family val="1"/>
    </font>
    <font>
      <b/>
      <sz val="12"/>
      <name val="Times New Roman"/>
      <family val="1"/>
    </font>
    <font>
      <u/>
      <sz val="10"/>
      <name val="Times New Roman"/>
      <family val="1"/>
    </font>
    <font>
      <b/>
      <u/>
      <sz val="10"/>
      <name val="Times New Roman"/>
      <family val="1"/>
    </font>
    <font>
      <b/>
      <i/>
      <u/>
      <sz val="10"/>
      <name val="Times New Roman"/>
      <family val="1"/>
    </font>
    <font>
      <sz val="10"/>
      <color indexed="10"/>
      <name val="Times New Roman"/>
      <family val="1"/>
    </font>
    <font>
      <sz val="8"/>
      <color indexed="10"/>
      <name val="Times New Roman"/>
      <family val="1"/>
    </font>
    <font>
      <b/>
      <sz val="10"/>
      <color indexed="10"/>
      <name val="Times New Roman"/>
      <family val="1"/>
    </font>
    <font>
      <b/>
      <sz val="8"/>
      <color indexed="10"/>
      <name val="Times New Roman"/>
      <family val="1"/>
    </font>
    <font>
      <b/>
      <sz val="10"/>
      <color indexed="12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305">
    <xf numFmtId="0" fontId="0" fillId="0" borderId="0" xfId="0"/>
    <xf numFmtId="0" fontId="3" fillId="0" borderId="0" xfId="0" applyFont="1"/>
    <xf numFmtId="39" fontId="3" fillId="0" borderId="0" xfId="0" applyNumberFormat="1" applyFont="1" applyProtection="1"/>
    <xf numFmtId="0" fontId="3" fillId="0" borderId="0" xfId="0" applyFont="1" applyAlignment="1" applyProtection="1">
      <alignment horizontal="left"/>
    </xf>
    <xf numFmtId="164" fontId="3" fillId="0" borderId="0" xfId="0" applyNumberFormat="1" applyFont="1" applyProtection="1"/>
    <xf numFmtId="165" fontId="3" fillId="0" borderId="0" xfId="0" applyNumberFormat="1" applyFont="1" applyProtection="1"/>
    <xf numFmtId="39" fontId="3" fillId="0" borderId="0" xfId="0" applyNumberFormat="1" applyFont="1" applyAlignment="1" applyProtection="1">
      <alignment horizontal="left"/>
    </xf>
    <xf numFmtId="39" fontId="3" fillId="0" borderId="0" xfId="0" applyNumberFormat="1" applyFont="1" applyAlignment="1" applyProtection="1">
      <alignment horizontal="center"/>
    </xf>
    <xf numFmtId="0" fontId="3" fillId="0" borderId="0" xfId="0" applyFont="1" applyAlignment="1" applyProtection="1">
      <alignment horizontal="center"/>
    </xf>
    <xf numFmtId="37" fontId="3" fillId="0" borderId="0" xfId="0" applyNumberFormat="1" applyFont="1" applyProtection="1"/>
    <xf numFmtId="0" fontId="3" fillId="0" borderId="0" xfId="0" applyFont="1" applyProtection="1"/>
    <xf numFmtId="39" fontId="4" fillId="0" borderId="0" xfId="0" applyNumberFormat="1" applyFont="1" applyProtection="1"/>
    <xf numFmtId="0" fontId="5" fillId="0" borderId="0" xfId="0" applyFont="1" applyAlignment="1" applyProtection="1">
      <alignment horizontal="left"/>
    </xf>
    <xf numFmtId="0" fontId="6" fillId="0" borderId="0" xfId="0" applyFont="1" applyProtection="1"/>
    <xf numFmtId="0" fontId="3" fillId="0" borderId="1" xfId="0" applyFont="1" applyBorder="1"/>
    <xf numFmtId="39" fontId="3" fillId="0" borderId="2" xfId="0" applyNumberFormat="1" applyFont="1" applyBorder="1" applyProtection="1"/>
    <xf numFmtId="0" fontId="3" fillId="0" borderId="2" xfId="0" applyFont="1" applyBorder="1"/>
    <xf numFmtId="39" fontId="7" fillId="0" borderId="3" xfId="0" applyNumberFormat="1" applyFont="1" applyBorder="1" applyAlignment="1" applyProtection="1">
      <alignment horizontal="center"/>
    </xf>
    <xf numFmtId="0" fontId="3" fillId="0" borderId="4" xfId="0" applyFont="1" applyBorder="1"/>
    <xf numFmtId="0" fontId="8" fillId="0" borderId="0" xfId="0" applyFont="1"/>
    <xf numFmtId="0" fontId="7" fillId="0" borderId="0" xfId="0" applyFont="1" applyAlignment="1" applyProtection="1">
      <alignment horizontal="left"/>
    </xf>
    <xf numFmtId="0" fontId="1" fillId="0" borderId="0" xfId="0" applyFont="1"/>
    <xf numFmtId="39" fontId="7" fillId="0" borderId="5" xfId="0" applyNumberFormat="1" applyFont="1" applyBorder="1" applyAlignment="1" applyProtection="1">
      <alignment horizontal="center"/>
    </xf>
    <xf numFmtId="39" fontId="8" fillId="0" borderId="2" xfId="0" applyNumberFormat="1" applyFont="1" applyBorder="1" applyAlignment="1" applyProtection="1">
      <alignment horizontal="center"/>
    </xf>
    <xf numFmtId="39" fontId="8" fillId="0" borderId="6" xfId="0" applyNumberFormat="1" applyFont="1" applyBorder="1" applyAlignment="1" applyProtection="1">
      <alignment horizontal="center"/>
    </xf>
    <xf numFmtId="39" fontId="8" fillId="0" borderId="2" xfId="0" applyNumberFormat="1" applyFont="1" applyBorder="1" applyProtection="1"/>
    <xf numFmtId="0" fontId="8" fillId="0" borderId="2" xfId="0" quotePrefix="1" applyFont="1" applyBorder="1" applyAlignment="1" applyProtection="1">
      <alignment horizontal="left"/>
    </xf>
    <xf numFmtId="39" fontId="8" fillId="0" borderId="7" xfId="0" applyNumberFormat="1" applyFont="1" applyBorder="1" applyAlignment="1" applyProtection="1">
      <alignment horizontal="center"/>
    </xf>
    <xf numFmtId="0" fontId="3" fillId="0" borderId="8" xfId="0" applyFont="1" applyBorder="1"/>
    <xf numFmtId="39" fontId="8" fillId="0" borderId="9" xfId="0" applyNumberFormat="1" applyFont="1" applyBorder="1" applyAlignment="1" applyProtection="1">
      <alignment horizontal="center"/>
    </xf>
    <xf numFmtId="39" fontId="8" fillId="0" borderId="10" xfId="0" applyNumberFormat="1" applyFont="1" applyBorder="1" applyAlignment="1" applyProtection="1">
      <alignment horizontal="center"/>
    </xf>
    <xf numFmtId="0" fontId="8" fillId="0" borderId="9" xfId="0" applyFont="1" applyBorder="1" applyAlignment="1" applyProtection="1">
      <alignment horizontal="left"/>
    </xf>
    <xf numFmtId="39" fontId="8" fillId="0" borderId="11" xfId="0" quotePrefix="1" applyNumberFormat="1" applyFont="1" applyBorder="1" applyAlignment="1" applyProtection="1">
      <alignment horizontal="center"/>
    </xf>
    <xf numFmtId="39" fontId="3" fillId="0" borderId="0" xfId="0" applyNumberFormat="1" applyFont="1" applyBorder="1" applyAlignment="1" applyProtection="1">
      <alignment horizontal="center"/>
    </xf>
    <xf numFmtId="39" fontId="3" fillId="0" borderId="12" xfId="0" applyNumberFormat="1" applyFont="1" applyBorder="1" applyAlignment="1" applyProtection="1">
      <alignment horizontal="center"/>
    </xf>
    <xf numFmtId="39" fontId="3" fillId="0" borderId="0" xfId="0" applyNumberFormat="1" applyFont="1" applyBorder="1" applyAlignment="1" applyProtection="1">
      <alignment horizontal="left"/>
    </xf>
    <xf numFmtId="39" fontId="3" fillId="0" borderId="13" xfId="0" applyNumberFormat="1" applyFont="1" applyBorder="1" applyAlignment="1" applyProtection="1">
      <alignment horizontal="center"/>
    </xf>
    <xf numFmtId="0" fontId="7" fillId="0" borderId="4" xfId="0" applyFont="1" applyBorder="1" applyAlignment="1" applyProtection="1">
      <alignment horizontal="center"/>
    </xf>
    <xf numFmtId="39" fontId="9" fillId="0" borderId="0" xfId="0" applyNumberFormat="1" applyFont="1" applyBorder="1" applyProtection="1"/>
    <xf numFmtId="39" fontId="9" fillId="0" borderId="12" xfId="0" applyNumberFormat="1" applyFont="1" applyBorder="1" applyProtection="1"/>
    <xf numFmtId="0" fontId="9" fillId="0" borderId="0" xfId="0" applyFont="1" applyBorder="1" applyProtection="1"/>
    <xf numFmtId="39" fontId="9" fillId="0" borderId="13" xfId="0" applyNumberFormat="1" applyFont="1" applyBorder="1" applyProtection="1"/>
    <xf numFmtId="0" fontId="7" fillId="0" borderId="4" xfId="0" applyFont="1" applyBorder="1"/>
    <xf numFmtId="0" fontId="9" fillId="0" borderId="0" xfId="0" applyFont="1" applyBorder="1"/>
    <xf numFmtId="37" fontId="9" fillId="0" borderId="0" xfId="0" applyNumberFormat="1" applyFont="1" applyBorder="1" applyProtection="1"/>
    <xf numFmtId="37" fontId="9" fillId="0" borderId="12" xfId="0" applyNumberFormat="1" applyFont="1" applyBorder="1" applyProtection="1"/>
    <xf numFmtId="37" fontId="9" fillId="0" borderId="13" xfId="0" applyNumberFormat="1" applyFont="1" applyBorder="1" applyProtection="1"/>
    <xf numFmtId="0" fontId="9" fillId="0" borderId="12" xfId="0" applyFont="1" applyBorder="1"/>
    <xf numFmtId="0" fontId="7" fillId="0" borderId="8" xfId="0" applyFont="1" applyBorder="1" applyAlignment="1" applyProtection="1">
      <alignment horizontal="center"/>
    </xf>
    <xf numFmtId="39" fontId="9" fillId="0" borderId="9" xfId="0" applyNumberFormat="1" applyFont="1" applyBorder="1" applyProtection="1"/>
    <xf numFmtId="39" fontId="9" fillId="0" borderId="10" xfId="0" applyNumberFormat="1" applyFont="1" applyBorder="1" applyProtection="1"/>
    <xf numFmtId="39" fontId="9" fillId="0" borderId="11" xfId="0" applyNumberFormat="1" applyFont="1" applyBorder="1" applyProtection="1"/>
    <xf numFmtId="0" fontId="9" fillId="0" borderId="0" xfId="0" applyFont="1"/>
    <xf numFmtId="0" fontId="12" fillId="0" borderId="0" xfId="0" quotePrefix="1" applyFont="1" applyAlignment="1" applyProtection="1">
      <alignment horizontal="centerContinuous"/>
    </xf>
    <xf numFmtId="39" fontId="3" fillId="0" borderId="0" xfId="0" applyNumberFormat="1" applyFont="1" applyAlignment="1" applyProtection="1">
      <alignment horizontal="centerContinuous"/>
    </xf>
    <xf numFmtId="39" fontId="4" fillId="0" borderId="0" xfId="0" applyNumberFormat="1" applyFont="1" applyAlignment="1" applyProtection="1">
      <alignment horizontal="centerContinuous"/>
    </xf>
    <xf numFmtId="164" fontId="3" fillId="0" borderId="0" xfId="0" applyNumberFormat="1" applyFont="1" applyAlignment="1" applyProtection="1">
      <alignment horizontal="centerContinuous"/>
    </xf>
    <xf numFmtId="165" fontId="3" fillId="0" borderId="0" xfId="0" applyNumberFormat="1" applyFont="1" applyAlignment="1" applyProtection="1">
      <alignment horizontal="centerContinuous"/>
    </xf>
    <xf numFmtId="0" fontId="3" fillId="0" borderId="0" xfId="0" applyFont="1" applyAlignment="1">
      <alignment horizontal="centerContinuous"/>
    </xf>
    <xf numFmtId="0" fontId="13" fillId="0" borderId="0" xfId="0" applyFont="1" applyProtection="1"/>
    <xf numFmtId="39" fontId="3" fillId="0" borderId="7" xfId="0" applyNumberFormat="1" applyFont="1" applyBorder="1" applyAlignment="1" applyProtection="1">
      <alignment horizontal="center"/>
    </xf>
    <xf numFmtId="0" fontId="13" fillId="0" borderId="0" xfId="0" applyFont="1" applyBorder="1" applyAlignment="1" applyProtection="1">
      <alignment horizontal="left"/>
    </xf>
    <xf numFmtId="0" fontId="3" fillId="0" borderId="0" xfId="0" applyFont="1" applyBorder="1" applyAlignment="1">
      <alignment horizontal="left"/>
    </xf>
    <xf numFmtId="0" fontId="14" fillId="0" borderId="0" xfId="0" applyFont="1" applyBorder="1" applyAlignment="1">
      <alignment horizontal="left"/>
    </xf>
    <xf numFmtId="0" fontId="3" fillId="0" borderId="0" xfId="0" applyFont="1" applyBorder="1"/>
    <xf numFmtId="0" fontId="14" fillId="0" borderId="0" xfId="0" applyFont="1" applyBorder="1"/>
    <xf numFmtId="39" fontId="3" fillId="0" borderId="0" xfId="0" applyNumberFormat="1" applyFont="1" applyBorder="1" applyProtection="1"/>
    <xf numFmtId="0" fontId="15" fillId="0" borderId="1" xfId="0" applyFont="1" applyBorder="1"/>
    <xf numFmtId="39" fontId="14" fillId="0" borderId="2" xfId="0" applyNumberFormat="1" applyFont="1" applyBorder="1" applyAlignment="1" applyProtection="1">
      <alignment horizontal="center"/>
    </xf>
    <xf numFmtId="39" fontId="14" fillId="0" borderId="6" xfId="0" applyNumberFormat="1" applyFont="1" applyBorder="1" applyAlignment="1" applyProtection="1">
      <alignment horizontal="center"/>
    </xf>
    <xf numFmtId="39" fontId="14" fillId="0" borderId="2" xfId="0" applyNumberFormat="1" applyFont="1" applyBorder="1" applyProtection="1"/>
    <xf numFmtId="0" fontId="14" fillId="0" borderId="2" xfId="0" quotePrefix="1" applyFont="1" applyBorder="1" applyAlignment="1" applyProtection="1">
      <alignment horizontal="left"/>
    </xf>
    <xf numFmtId="39" fontId="14" fillId="0" borderId="14" xfId="0" applyNumberFormat="1" applyFont="1" applyBorder="1" applyAlignment="1" applyProtection="1">
      <alignment horizontal="center"/>
    </xf>
    <xf numFmtId="39" fontId="14" fillId="0" borderId="7" xfId="0" applyNumberFormat="1" applyFont="1" applyBorder="1" applyAlignment="1" applyProtection="1">
      <alignment horizontal="center"/>
    </xf>
    <xf numFmtId="37" fontId="15" fillId="0" borderId="0" xfId="0" applyNumberFormat="1" applyFont="1" applyProtection="1"/>
    <xf numFmtId="0" fontId="15" fillId="0" borderId="8" xfId="0" applyFont="1" applyBorder="1"/>
    <xf numFmtId="39" fontId="14" fillId="0" borderId="9" xfId="0" applyNumberFormat="1" applyFont="1" applyBorder="1" applyAlignment="1" applyProtection="1">
      <alignment horizontal="center"/>
    </xf>
    <xf numFmtId="39" fontId="14" fillId="0" borderId="10" xfId="0" applyNumberFormat="1" applyFont="1" applyBorder="1" applyAlignment="1" applyProtection="1">
      <alignment horizontal="center"/>
    </xf>
    <xf numFmtId="0" fontId="14" fillId="0" borderId="9" xfId="0" applyFont="1" applyBorder="1" applyAlignment="1" applyProtection="1">
      <alignment horizontal="left"/>
    </xf>
    <xf numFmtId="39" fontId="14" fillId="0" borderId="15" xfId="0" applyNumberFormat="1" applyFont="1" applyBorder="1" applyAlignment="1" applyProtection="1">
      <alignment horizontal="center"/>
    </xf>
    <xf numFmtId="39" fontId="14" fillId="0" borderId="11" xfId="0" applyNumberFormat="1" applyFont="1" applyBorder="1" applyAlignment="1" applyProtection="1">
      <alignment horizontal="center"/>
    </xf>
    <xf numFmtId="39" fontId="3" fillId="0" borderId="16" xfId="0" applyNumberFormat="1" applyFont="1" applyBorder="1" applyAlignment="1" applyProtection="1">
      <alignment horizontal="center"/>
    </xf>
    <xf numFmtId="0" fontId="13" fillId="0" borderId="4" xfId="0" applyFont="1" applyBorder="1" applyAlignment="1" applyProtection="1">
      <alignment horizontal="center"/>
    </xf>
    <xf numFmtId="39" fontId="9" fillId="0" borderId="16" xfId="0" applyNumberFormat="1" applyFont="1" applyBorder="1" applyProtection="1"/>
    <xf numFmtId="39" fontId="9" fillId="0" borderId="0" xfId="0" applyNumberFormat="1" applyFont="1" applyFill="1" applyBorder="1" applyProtection="1"/>
    <xf numFmtId="0" fontId="13" fillId="0" borderId="4" xfId="0" applyFont="1" applyBorder="1"/>
    <xf numFmtId="37" fontId="9" fillId="0" borderId="16" xfId="0" applyNumberFormat="1" applyFont="1" applyBorder="1" applyProtection="1"/>
    <xf numFmtId="0" fontId="9" fillId="0" borderId="16" xfId="0" applyFont="1" applyBorder="1"/>
    <xf numFmtId="0" fontId="13" fillId="0" borderId="8" xfId="0" applyFont="1" applyBorder="1" applyAlignment="1" applyProtection="1">
      <alignment horizontal="center"/>
    </xf>
    <xf numFmtId="39" fontId="9" fillId="0" borderId="15" xfId="0" applyNumberFormat="1" applyFont="1" applyBorder="1" applyProtection="1"/>
    <xf numFmtId="39" fontId="9" fillId="0" borderId="0" xfId="0" applyNumberFormat="1" applyFont="1" applyProtection="1"/>
    <xf numFmtId="37" fontId="9" fillId="0" borderId="0" xfId="0" applyNumberFormat="1" applyFont="1" applyProtection="1"/>
    <xf numFmtId="0" fontId="14" fillId="0" borderId="0" xfId="0" applyFont="1"/>
    <xf numFmtId="0" fontId="5" fillId="0" borderId="0" xfId="0" applyFont="1" applyBorder="1" applyAlignment="1" applyProtection="1">
      <protection locked="0"/>
    </xf>
    <xf numFmtId="0" fontId="0" fillId="0" borderId="0" xfId="0" applyAlignment="1"/>
    <xf numFmtId="0" fontId="16" fillId="0" borderId="0" xfId="0" quotePrefix="1" applyFont="1" applyAlignment="1" applyProtection="1">
      <alignment horizontal="centerContinuous"/>
    </xf>
    <xf numFmtId="0" fontId="16" fillId="0" borderId="0" xfId="0" quotePrefix="1" applyFont="1" applyAlignment="1" applyProtection="1">
      <alignment horizontal="left"/>
    </xf>
    <xf numFmtId="0" fontId="16" fillId="0" borderId="0" xfId="0" applyFont="1" applyAlignment="1" applyProtection="1">
      <alignment horizontal="left"/>
    </xf>
    <xf numFmtId="0" fontId="17" fillId="0" borderId="0" xfId="0" applyFont="1" applyAlignment="1">
      <alignment horizontal="centerContinuous"/>
    </xf>
    <xf numFmtId="0" fontId="6" fillId="0" borderId="0" xfId="0" applyFont="1" applyAlignment="1" applyProtection="1">
      <alignment horizontal="centerContinuous"/>
    </xf>
    <xf numFmtId="0" fontId="7" fillId="0" borderId="0" xfId="0" applyFont="1" applyProtection="1"/>
    <xf numFmtId="0" fontId="7" fillId="0" borderId="0" xfId="0" applyFont="1" applyBorder="1" applyAlignment="1" applyProtection="1">
      <alignment horizontal="left"/>
    </xf>
    <xf numFmtId="0" fontId="1" fillId="0" borderId="0" xfId="0" applyFont="1" applyBorder="1" applyAlignment="1">
      <alignment horizontal="left"/>
    </xf>
    <xf numFmtId="0" fontId="8" fillId="0" borderId="0" xfId="0" applyFont="1" applyBorder="1"/>
    <xf numFmtId="39" fontId="8" fillId="0" borderId="14" xfId="0" applyNumberFormat="1" applyFont="1" applyBorder="1" applyAlignment="1" applyProtection="1">
      <alignment horizontal="center"/>
    </xf>
    <xf numFmtId="39" fontId="8" fillId="0" borderId="15" xfId="0" applyNumberFormat="1" applyFont="1" applyBorder="1" applyAlignment="1" applyProtection="1">
      <alignment horizontal="center"/>
    </xf>
    <xf numFmtId="39" fontId="8" fillId="0" borderId="11" xfId="0" applyNumberFormat="1" applyFont="1" applyBorder="1" applyAlignment="1" applyProtection="1">
      <alignment horizontal="center"/>
    </xf>
    <xf numFmtId="37" fontId="0" fillId="0" borderId="0" xfId="0" applyNumberFormat="1" applyProtection="1"/>
    <xf numFmtId="0" fontId="0" fillId="0" borderId="0" xfId="0" applyAlignment="1" applyProtection="1">
      <alignment horizontal="left"/>
    </xf>
    <xf numFmtId="164" fontId="0" fillId="0" borderId="0" xfId="0" applyNumberFormat="1" applyProtection="1"/>
    <xf numFmtId="165" fontId="0" fillId="0" borderId="0" xfId="0" applyNumberFormat="1" applyProtection="1"/>
    <xf numFmtId="37" fontId="0" fillId="0" borderId="0" xfId="0" applyNumberFormat="1" applyAlignment="1" applyProtection="1">
      <alignment horizontal="center"/>
    </xf>
    <xf numFmtId="0" fontId="0" fillId="0" borderId="0" xfId="0" applyAlignment="1" applyProtection="1">
      <alignment horizontal="center"/>
    </xf>
    <xf numFmtId="0" fontId="0" fillId="0" borderId="0" xfId="0" applyProtection="1"/>
    <xf numFmtId="37" fontId="0" fillId="0" borderId="0" xfId="0" applyNumberFormat="1" applyAlignment="1" applyProtection="1">
      <alignment horizontal="left"/>
    </xf>
    <xf numFmtId="0" fontId="9" fillId="0" borderId="0" xfId="0" applyFont="1" applyAlignment="1" applyProtection="1">
      <alignment horizontal="left"/>
    </xf>
    <xf numFmtId="37" fontId="9" fillId="0" borderId="0" xfId="0" applyNumberFormat="1" applyFont="1" applyAlignment="1" applyProtection="1">
      <alignment horizontal="center"/>
    </xf>
    <xf numFmtId="0" fontId="9" fillId="0" borderId="0" xfId="0" applyFont="1" applyAlignment="1" applyProtection="1">
      <alignment horizontal="center"/>
    </xf>
    <xf numFmtId="0" fontId="9" fillId="0" borderId="0" xfId="0" applyFont="1" applyProtection="1"/>
    <xf numFmtId="37" fontId="9" fillId="0" borderId="0" xfId="0" applyNumberFormat="1" applyFont="1" applyAlignment="1" applyProtection="1">
      <alignment horizontal="left"/>
    </xf>
    <xf numFmtId="0" fontId="9" fillId="0" borderId="0" xfId="0" applyFont="1" applyAlignment="1" applyProtection="1">
      <alignment horizontal="centerContinuous"/>
    </xf>
    <xf numFmtId="0" fontId="9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164" fontId="9" fillId="0" borderId="0" xfId="0" applyNumberFormat="1" applyFont="1" applyAlignment="1" applyProtection="1">
      <alignment horizontal="centerContinuous"/>
    </xf>
    <xf numFmtId="165" fontId="9" fillId="0" borderId="0" xfId="0" applyNumberFormat="1" applyFont="1" applyAlignment="1" applyProtection="1">
      <alignment horizontal="centerContinuous"/>
    </xf>
    <xf numFmtId="37" fontId="9" fillId="0" borderId="0" xfId="0" applyNumberFormat="1" applyFont="1" applyAlignment="1" applyProtection="1">
      <alignment horizontal="centerContinuous"/>
    </xf>
    <xf numFmtId="0" fontId="18" fillId="0" borderId="0" xfId="0" applyFont="1" applyAlignment="1" applyProtection="1">
      <alignment horizontal="centerContinuous"/>
    </xf>
    <xf numFmtId="0" fontId="10" fillId="0" borderId="0" xfId="0" quotePrefix="1" applyFont="1" applyBorder="1" applyAlignment="1" applyProtection="1">
      <alignment horizontal="centerContinuous"/>
    </xf>
    <xf numFmtId="0" fontId="4" fillId="0" borderId="0" xfId="0" applyFont="1" applyBorder="1" applyAlignment="1">
      <alignment horizontal="centerContinuous"/>
    </xf>
    <xf numFmtId="39" fontId="11" fillId="0" borderId="0" xfId="0" applyNumberFormat="1" applyFont="1" applyBorder="1" applyAlignment="1" applyProtection="1">
      <alignment horizontal="centerContinuous"/>
    </xf>
    <xf numFmtId="39" fontId="4" fillId="0" borderId="0" xfId="0" applyNumberFormat="1" applyFont="1" applyBorder="1" applyAlignment="1" applyProtection="1">
      <alignment horizontal="centerContinuous"/>
    </xf>
    <xf numFmtId="37" fontId="3" fillId="0" borderId="0" xfId="0" applyNumberFormat="1" applyFont="1" applyAlignment="1" applyProtection="1">
      <alignment horizontal="centerContinuous"/>
    </xf>
    <xf numFmtId="0" fontId="12" fillId="0" borderId="0" xfId="0" applyFont="1" applyAlignment="1" applyProtection="1">
      <alignment horizontal="centerContinuous"/>
    </xf>
    <xf numFmtId="0" fontId="19" fillId="0" borderId="0" xfId="0" quotePrefix="1" applyFont="1" applyBorder="1" applyAlignment="1" applyProtection="1">
      <alignment horizontal="centerContinuous"/>
    </xf>
    <xf numFmtId="0" fontId="18" fillId="0" borderId="0" xfId="0" applyFont="1" applyAlignment="1">
      <alignment horizontal="centerContinuous"/>
    </xf>
    <xf numFmtId="39" fontId="7" fillId="0" borderId="0" xfId="0" applyNumberFormat="1" applyFont="1" applyProtection="1"/>
    <xf numFmtId="0" fontId="20" fillId="0" borderId="0" xfId="0" applyFont="1" applyAlignment="1" applyProtection="1">
      <alignment horizontal="left"/>
    </xf>
    <xf numFmtId="0" fontId="3" fillId="0" borderId="0" xfId="0" quotePrefix="1" applyFont="1"/>
    <xf numFmtId="39" fontId="8" fillId="0" borderId="0" xfId="0" applyNumberFormat="1" applyFont="1" applyBorder="1" applyProtection="1"/>
    <xf numFmtId="39" fontId="8" fillId="0" borderId="12" xfId="0" applyNumberFormat="1" applyFont="1" applyBorder="1" applyProtection="1"/>
    <xf numFmtId="39" fontId="2" fillId="0" borderId="16" xfId="0" applyNumberFormat="1" applyFont="1" applyBorder="1" applyProtection="1"/>
    <xf numFmtId="39" fontId="2" fillId="0" borderId="0" xfId="0" applyNumberFormat="1" applyFont="1" applyBorder="1" applyProtection="1"/>
    <xf numFmtId="0" fontId="0" fillId="0" borderId="0" xfId="0" applyBorder="1" applyAlignment="1">
      <alignment horizontal="centerContinuous"/>
    </xf>
    <xf numFmtId="39" fontId="2" fillId="0" borderId="9" xfId="0" applyNumberFormat="1" applyFont="1" applyBorder="1" applyProtection="1"/>
    <xf numFmtId="39" fontId="2" fillId="0" borderId="15" xfId="0" applyNumberFormat="1" applyFont="1" applyBorder="1" applyProtection="1"/>
    <xf numFmtId="39" fontId="21" fillId="0" borderId="0" xfId="0" applyNumberFormat="1" applyFont="1" applyProtection="1"/>
    <xf numFmtId="39" fontId="9" fillId="0" borderId="0" xfId="0" applyNumberFormat="1" applyFont="1" applyAlignment="1" applyProtection="1">
      <alignment horizontal="left"/>
    </xf>
    <xf numFmtId="39" fontId="8" fillId="0" borderId="0" xfId="0" applyNumberFormat="1" applyFont="1" applyProtection="1"/>
    <xf numFmtId="0" fontId="22" fillId="0" borderId="0" xfId="0" applyFont="1" applyAlignment="1" applyProtection="1">
      <alignment horizontal="left"/>
    </xf>
    <xf numFmtId="39" fontId="1" fillId="0" borderId="0" xfId="0" applyNumberFormat="1" applyFont="1" applyProtection="1"/>
    <xf numFmtId="0" fontId="1" fillId="0" borderId="0" xfId="0" applyFont="1" applyAlignment="1" applyProtection="1">
      <alignment horizontal="left"/>
    </xf>
    <xf numFmtId="0" fontId="7" fillId="0" borderId="0" xfId="0" applyFont="1"/>
    <xf numFmtId="39" fontId="1" fillId="0" borderId="0" xfId="0" applyNumberFormat="1" applyFont="1" applyAlignment="1" applyProtection="1">
      <alignment horizontal="center"/>
    </xf>
    <xf numFmtId="37" fontId="7" fillId="0" borderId="0" xfId="0" applyNumberFormat="1" applyFont="1" applyProtection="1"/>
    <xf numFmtId="39" fontId="1" fillId="0" borderId="0" xfId="0" applyNumberFormat="1" applyFont="1" applyAlignment="1" applyProtection="1">
      <alignment horizontal="left"/>
    </xf>
    <xf numFmtId="0" fontId="1" fillId="0" borderId="0" xfId="0" applyFont="1" applyAlignment="1" applyProtection="1">
      <alignment horizontal="center"/>
    </xf>
    <xf numFmtId="164" fontId="1" fillId="0" borderId="0" xfId="0" applyNumberFormat="1" applyFont="1" applyProtection="1"/>
    <xf numFmtId="165" fontId="1" fillId="0" borderId="0" xfId="0" applyNumberFormat="1" applyFont="1" applyProtection="1"/>
    <xf numFmtId="0" fontId="8" fillId="0" borderId="0" xfId="0" applyFont="1" applyAlignment="1" applyProtection="1">
      <alignment horizontal="left"/>
    </xf>
    <xf numFmtId="164" fontId="8" fillId="0" borderId="0" xfId="0" applyNumberFormat="1" applyFont="1" applyProtection="1"/>
    <xf numFmtId="165" fontId="8" fillId="0" borderId="0" xfId="0" applyNumberFormat="1" applyFont="1" applyProtection="1"/>
    <xf numFmtId="39" fontId="8" fillId="0" borderId="0" xfId="0" applyNumberFormat="1" applyFont="1" applyAlignment="1" applyProtection="1">
      <alignment horizontal="left"/>
    </xf>
    <xf numFmtId="0" fontId="8" fillId="0" borderId="0" xfId="0" applyFont="1" applyProtection="1"/>
    <xf numFmtId="39" fontId="8" fillId="0" borderId="0" xfId="0" applyNumberFormat="1" applyFont="1" applyAlignment="1" applyProtection="1">
      <alignment horizontal="center"/>
    </xf>
    <xf numFmtId="0" fontId="8" fillId="0" borderId="0" xfId="0" applyFont="1" applyAlignment="1" applyProtection="1">
      <alignment horizontal="center"/>
    </xf>
    <xf numFmtId="43" fontId="9" fillId="0" borderId="0" xfId="1" applyFont="1" applyBorder="1" applyProtection="1"/>
    <xf numFmtId="0" fontId="23" fillId="0" borderId="0" xfId="0" applyFont="1"/>
    <xf numFmtId="166" fontId="9" fillId="0" borderId="0" xfId="1" applyNumberFormat="1" applyFont="1" applyProtection="1"/>
    <xf numFmtId="4" fontId="3" fillId="0" borderId="0" xfId="0" applyNumberFormat="1" applyFont="1" applyProtection="1"/>
    <xf numFmtId="4" fontId="3" fillId="0" borderId="0" xfId="0" applyNumberFormat="1" applyFont="1"/>
    <xf numFmtId="39" fontId="7" fillId="0" borderId="0" xfId="0" applyNumberFormat="1" applyFont="1" applyAlignment="1" applyProtection="1">
      <alignment horizontal="centerContinuous"/>
    </xf>
    <xf numFmtId="39" fontId="9" fillId="0" borderId="0" xfId="0" quotePrefix="1" applyNumberFormat="1" applyFont="1" applyProtection="1"/>
    <xf numFmtId="39" fontId="2" fillId="0" borderId="12" xfId="0" applyNumberFormat="1" applyFont="1" applyBorder="1" applyProtection="1"/>
    <xf numFmtId="0" fontId="9" fillId="0" borderId="2" xfId="0" applyFont="1" applyBorder="1"/>
    <xf numFmtId="0" fontId="9" fillId="0" borderId="1" xfId="0" applyFont="1" applyBorder="1"/>
    <xf numFmtId="0" fontId="9" fillId="0" borderId="4" xfId="0" applyFont="1" applyBorder="1"/>
    <xf numFmtId="0" fontId="9" fillId="0" borderId="8" xfId="0" applyFont="1" applyBorder="1"/>
    <xf numFmtId="0" fontId="9" fillId="0" borderId="9" xfId="0" applyFont="1" applyBorder="1" applyAlignment="1" applyProtection="1">
      <alignment horizontal="center"/>
    </xf>
    <xf numFmtId="0" fontId="9" fillId="0" borderId="17" xfId="0" applyFont="1" applyBorder="1" applyAlignment="1" applyProtection="1">
      <alignment horizontal="center"/>
    </xf>
    <xf numFmtId="0" fontId="1" fillId="0" borderId="9" xfId="0" applyFont="1" applyBorder="1" applyAlignment="1" applyProtection="1">
      <alignment horizontal="center"/>
    </xf>
    <xf numFmtId="37" fontId="9" fillId="0" borderId="17" xfId="0" applyNumberFormat="1" applyFont="1" applyBorder="1" applyProtection="1"/>
    <xf numFmtId="0" fontId="9" fillId="0" borderId="7" xfId="0" applyFont="1" applyBorder="1"/>
    <xf numFmtId="0" fontId="9" fillId="0" borderId="11" xfId="0" applyFont="1" applyBorder="1" applyAlignment="1" applyProtection="1">
      <alignment horizontal="center"/>
    </xf>
    <xf numFmtId="37" fontId="9" fillId="0" borderId="13" xfId="0" applyNumberFormat="1" applyFont="1" applyBorder="1" applyAlignment="1" applyProtection="1">
      <alignment horizontal="center"/>
    </xf>
    <xf numFmtId="0" fontId="9" fillId="0" borderId="18" xfId="0" applyFont="1" applyBorder="1" applyAlignment="1" applyProtection="1">
      <alignment horizontal="center"/>
    </xf>
    <xf numFmtId="0" fontId="9" fillId="0" borderId="19" xfId="0" applyFont="1" applyBorder="1" applyAlignment="1" applyProtection="1">
      <alignment horizontal="center"/>
    </xf>
    <xf numFmtId="37" fontId="9" fillId="0" borderId="19" xfId="0" applyNumberFormat="1" applyFont="1" applyBorder="1" applyProtection="1"/>
    <xf numFmtId="37" fontId="9" fillId="0" borderId="9" xfId="0" applyNumberFormat="1" applyFont="1" applyBorder="1" applyProtection="1"/>
    <xf numFmtId="37" fontId="9" fillId="0" borderId="20" xfId="0" applyNumberFormat="1" applyFont="1" applyBorder="1" applyProtection="1"/>
    <xf numFmtId="37" fontId="9" fillId="0" borderId="21" xfId="0" applyNumberFormat="1" applyFont="1" applyBorder="1" applyProtection="1"/>
    <xf numFmtId="37" fontId="9" fillId="0" borderId="11" xfId="0" applyNumberFormat="1" applyFont="1" applyBorder="1" applyProtection="1"/>
    <xf numFmtId="0" fontId="1" fillId="0" borderId="4" xfId="0" applyFont="1" applyBorder="1"/>
    <xf numFmtId="0" fontId="1" fillId="0" borderId="8" xfId="0" applyFont="1" applyBorder="1"/>
    <xf numFmtId="0" fontId="1" fillId="0" borderId="17" xfId="0" applyFont="1" applyBorder="1" applyAlignment="1" applyProtection="1">
      <alignment horizontal="center"/>
    </xf>
    <xf numFmtId="37" fontId="1" fillId="0" borderId="13" xfId="0" applyNumberFormat="1" applyFont="1" applyBorder="1" applyAlignment="1" applyProtection="1">
      <alignment horizontal="center"/>
    </xf>
    <xf numFmtId="0" fontId="1" fillId="0" borderId="20" xfId="0" applyFont="1" applyBorder="1" applyAlignment="1" applyProtection="1">
      <alignment horizontal="center"/>
    </xf>
    <xf numFmtId="0" fontId="1" fillId="0" borderId="11" xfId="0" applyFont="1" applyBorder="1" applyAlignment="1" applyProtection="1">
      <alignment horizontal="center"/>
    </xf>
    <xf numFmtId="39" fontId="9" fillId="0" borderId="13" xfId="0" quotePrefix="1" applyNumberFormat="1" applyFont="1" applyBorder="1" applyProtection="1"/>
    <xf numFmtId="39" fontId="3" fillId="0" borderId="9" xfId="0" applyNumberFormat="1" applyFont="1" applyBorder="1" applyProtection="1"/>
    <xf numFmtId="37" fontId="9" fillId="0" borderId="18" xfId="0" applyNumberFormat="1" applyFont="1" applyBorder="1" applyProtection="1"/>
    <xf numFmtId="39" fontId="3" fillId="0" borderId="0" xfId="0" quotePrefix="1" applyNumberFormat="1" applyFont="1"/>
    <xf numFmtId="37" fontId="3" fillId="0" borderId="0" xfId="0" quotePrefix="1" applyNumberFormat="1" applyFont="1"/>
    <xf numFmtId="0" fontId="14" fillId="0" borderId="2" xfId="0" applyFont="1" applyBorder="1" applyAlignment="1" applyProtection="1">
      <alignment horizontal="left"/>
    </xf>
    <xf numFmtId="0" fontId="14" fillId="0" borderId="6" xfId="0" quotePrefix="1" applyFont="1" applyBorder="1" applyAlignment="1" applyProtection="1">
      <alignment horizontal="left"/>
    </xf>
    <xf numFmtId="0" fontId="14" fillId="0" borderId="10" xfId="0" applyFont="1" applyBorder="1" applyAlignment="1" applyProtection="1">
      <alignment horizontal="left"/>
    </xf>
    <xf numFmtId="39" fontId="3" fillId="0" borderId="12" xfId="0" applyNumberFormat="1" applyFont="1" applyBorder="1" applyAlignment="1" applyProtection="1">
      <alignment horizontal="left"/>
    </xf>
    <xf numFmtId="39" fontId="9" fillId="0" borderId="22" xfId="0" applyNumberFormat="1" applyFont="1" applyBorder="1" applyProtection="1"/>
    <xf numFmtId="0" fontId="1" fillId="0" borderId="0" xfId="0" applyFont="1" applyBorder="1" applyAlignment="1" applyProtection="1">
      <alignment horizontal="center"/>
    </xf>
    <xf numFmtId="0" fontId="9" fillId="0" borderId="23" xfId="0" applyFont="1" applyBorder="1" applyAlignment="1" applyProtection="1">
      <alignment horizontal="center"/>
    </xf>
    <xf numFmtId="0" fontId="1" fillId="0" borderId="24" xfId="0" applyFont="1" applyBorder="1" applyAlignment="1" applyProtection="1">
      <alignment horizontal="center"/>
    </xf>
    <xf numFmtId="0" fontId="1" fillId="0" borderId="25" xfId="0" applyFont="1" applyBorder="1" applyAlignment="1" applyProtection="1">
      <alignment horizontal="center"/>
    </xf>
    <xf numFmtId="0" fontId="1" fillId="0" borderId="4" xfId="0" quotePrefix="1" applyFont="1" applyFill="1" applyBorder="1"/>
    <xf numFmtId="37" fontId="9" fillId="0" borderId="25" xfId="0" applyNumberFormat="1" applyFont="1" applyBorder="1" applyProtection="1"/>
    <xf numFmtId="39" fontId="9" fillId="0" borderId="21" xfId="0" applyNumberFormat="1" applyFont="1" applyBorder="1" applyProtection="1"/>
    <xf numFmtId="39" fontId="3" fillId="0" borderId="6" xfId="0" applyNumberFormat="1" applyFont="1" applyBorder="1" applyAlignment="1" applyProtection="1">
      <alignment horizontal="left"/>
    </xf>
    <xf numFmtId="37" fontId="9" fillId="0" borderId="4" xfId="0" applyNumberFormat="1" applyFont="1" applyBorder="1" applyProtection="1"/>
    <xf numFmtId="0" fontId="9" fillId="0" borderId="4" xfId="0" applyFont="1" applyBorder="1" applyAlignment="1" applyProtection="1">
      <alignment horizontal="center"/>
    </xf>
    <xf numFmtId="0" fontId="9" fillId="0" borderId="16" xfId="0" applyFont="1" applyBorder="1" applyAlignment="1" applyProtection="1">
      <alignment horizontal="center"/>
    </xf>
    <xf numFmtId="0" fontId="9" fillId="0" borderId="0" xfId="0" applyFont="1" applyBorder="1" applyAlignment="1" applyProtection="1">
      <alignment horizontal="center"/>
    </xf>
    <xf numFmtId="37" fontId="0" fillId="0" borderId="0" xfId="0" applyNumberFormat="1"/>
    <xf numFmtId="39" fontId="3" fillId="0" borderId="0" xfId="0" applyNumberFormat="1" applyFont="1"/>
    <xf numFmtId="0" fontId="1" fillId="0" borderId="14" xfId="0" applyFont="1" applyBorder="1" applyAlignment="1" applyProtection="1">
      <alignment horizontal="center"/>
    </xf>
    <xf numFmtId="0" fontId="1" fillId="0" borderId="15" xfId="0" applyFont="1" applyBorder="1" applyAlignment="1" applyProtection="1">
      <alignment horizontal="center"/>
    </xf>
    <xf numFmtId="0" fontId="0" fillId="0" borderId="0" xfId="0" quotePrefix="1"/>
    <xf numFmtId="37" fontId="9" fillId="0" borderId="15" xfId="0" applyNumberFormat="1" applyFont="1" applyBorder="1" applyProtection="1"/>
    <xf numFmtId="39" fontId="0" fillId="0" borderId="0" xfId="0" applyNumberFormat="1" applyAlignment="1">
      <alignment horizontal="centerContinuous"/>
    </xf>
    <xf numFmtId="39" fontId="9" fillId="0" borderId="26" xfId="0" applyNumberFormat="1" applyFont="1" applyBorder="1" applyProtection="1"/>
    <xf numFmtId="39" fontId="0" fillId="0" borderId="0" xfId="0" applyNumberFormat="1"/>
    <xf numFmtId="2" fontId="0" fillId="0" borderId="0" xfId="0" applyNumberFormat="1"/>
    <xf numFmtId="0" fontId="0" fillId="0" borderId="0" xfId="0" applyAlignment="1">
      <alignment horizontal="center"/>
    </xf>
    <xf numFmtId="0" fontId="0" fillId="0" borderId="26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6" xfId="0" applyBorder="1"/>
    <xf numFmtId="0" fontId="0" fillId="0" borderId="0" xfId="0" applyBorder="1"/>
    <xf numFmtId="0" fontId="0" fillId="0" borderId="27" xfId="0" applyBorder="1"/>
    <xf numFmtId="37" fontId="0" fillId="0" borderId="26" xfId="0" applyNumberFormat="1" applyBorder="1" applyProtection="1"/>
    <xf numFmtId="39" fontId="0" fillId="0" borderId="0" xfId="0" applyNumberFormat="1" applyBorder="1"/>
    <xf numFmtId="2" fontId="0" fillId="0" borderId="27" xfId="0" applyNumberFormat="1" applyBorder="1"/>
    <xf numFmtId="37" fontId="0" fillId="0" borderId="26" xfId="0" applyNumberFormat="1" applyBorder="1"/>
    <xf numFmtId="37" fontId="0" fillId="0" borderId="26" xfId="0" applyNumberFormat="1" applyFill="1" applyBorder="1"/>
    <xf numFmtId="39" fontId="0" fillId="0" borderId="0" xfId="0" applyNumberFormat="1" applyFill="1" applyBorder="1"/>
    <xf numFmtId="2" fontId="0" fillId="0" borderId="27" xfId="0" applyNumberFormat="1" applyFill="1" applyBorder="1"/>
    <xf numFmtId="0" fontId="0" fillId="0" borderId="0" xfId="0" applyFill="1"/>
    <xf numFmtId="37" fontId="8" fillId="0" borderId="13" xfId="0" quotePrefix="1" applyNumberFormat="1" applyFont="1" applyBorder="1" applyProtection="1"/>
    <xf numFmtId="0" fontId="1" fillId="0" borderId="4" xfId="0" applyFont="1" applyFill="1" applyBorder="1"/>
    <xf numFmtId="2" fontId="3" fillId="0" borderId="0" xfId="0" applyNumberFormat="1" applyFont="1"/>
    <xf numFmtId="37" fontId="8" fillId="0" borderId="13" xfId="0" applyNumberFormat="1" applyFont="1" applyBorder="1" applyProtection="1"/>
    <xf numFmtId="4" fontId="9" fillId="0" borderId="0" xfId="0" applyNumberFormat="1" applyFont="1"/>
    <xf numFmtId="0" fontId="9" fillId="0" borderId="0" xfId="0" quotePrefix="1" applyFont="1"/>
    <xf numFmtId="4" fontId="3" fillId="0" borderId="0" xfId="0" applyNumberFormat="1" applyFont="1" applyBorder="1"/>
    <xf numFmtId="37" fontId="9" fillId="0" borderId="16" xfId="0" applyNumberFormat="1" applyFont="1" applyFill="1" applyBorder="1" applyProtection="1"/>
    <xf numFmtId="37" fontId="9" fillId="0" borderId="19" xfId="0" applyNumberFormat="1" applyFont="1" applyFill="1" applyBorder="1" applyProtection="1"/>
    <xf numFmtId="37" fontId="9" fillId="0" borderId="0" xfId="0" applyNumberFormat="1" applyFont="1" applyFill="1" applyProtection="1"/>
    <xf numFmtId="37" fontId="9" fillId="0" borderId="17" xfId="0" applyNumberFormat="1" applyFont="1" applyFill="1" applyBorder="1" applyProtection="1"/>
    <xf numFmtId="39" fontId="9" fillId="0" borderId="12" xfId="0" applyNumberFormat="1" applyFont="1" applyFill="1" applyBorder="1" applyProtection="1"/>
    <xf numFmtId="39" fontId="9" fillId="0" borderId="16" xfId="0" applyNumberFormat="1" applyFont="1" applyFill="1" applyBorder="1" applyProtection="1"/>
    <xf numFmtId="39" fontId="3" fillId="0" borderId="0" xfId="0" applyNumberFormat="1" applyFont="1" applyFill="1"/>
    <xf numFmtId="39" fontId="24" fillId="0" borderId="12" xfId="0" applyNumberFormat="1" applyFont="1" applyFill="1" applyBorder="1" applyProtection="1"/>
    <xf numFmtId="39" fontId="24" fillId="0" borderId="12" xfId="0" applyNumberFormat="1" applyFont="1" applyBorder="1" applyProtection="1"/>
    <xf numFmtId="0" fontId="25" fillId="0" borderId="0" xfId="0" applyFont="1"/>
    <xf numFmtId="3" fontId="0" fillId="0" borderId="0" xfId="0" applyNumberFormat="1"/>
    <xf numFmtId="37" fontId="9" fillId="0" borderId="8" xfId="0" applyNumberFormat="1" applyFont="1" applyBorder="1" applyProtection="1"/>
    <xf numFmtId="39" fontId="26" fillId="0" borderId="12" xfId="0" applyNumberFormat="1" applyFont="1" applyBorder="1" applyProtection="1"/>
    <xf numFmtId="0" fontId="27" fillId="0" borderId="0" xfId="0" applyFont="1"/>
    <xf numFmtId="37" fontId="26" fillId="0" borderId="0" xfId="0" applyNumberFormat="1" applyFont="1" applyProtection="1"/>
    <xf numFmtId="39" fontId="28" fillId="0" borderId="0" xfId="0" applyNumberFormat="1" applyFont="1" applyBorder="1" applyProtection="1"/>
    <xf numFmtId="37" fontId="9" fillId="2" borderId="0" xfId="0" applyNumberFormat="1" applyFont="1" applyFill="1" applyProtection="1"/>
    <xf numFmtId="0" fontId="1" fillId="2" borderId="4" xfId="0" quotePrefix="1" applyFont="1" applyFill="1" applyBorder="1"/>
    <xf numFmtId="0" fontId="0" fillId="2" borderId="0" xfId="0" applyFill="1"/>
    <xf numFmtId="0" fontId="8" fillId="0" borderId="0" xfId="0" quotePrefix="1" applyFont="1" applyAlignment="1">
      <alignment horizontal="center"/>
    </xf>
    <xf numFmtId="39" fontId="9" fillId="2" borderId="0" xfId="0" applyNumberFormat="1" applyFont="1" applyFill="1" applyBorder="1" applyProtection="1"/>
    <xf numFmtId="0" fontId="3" fillId="2" borderId="0" xfId="0" quotePrefix="1" applyFont="1" applyFill="1"/>
    <xf numFmtId="0" fontId="3" fillId="2" borderId="0" xfId="0" applyFont="1" applyFill="1"/>
    <xf numFmtId="0" fontId="3" fillId="0" borderId="0" xfId="0" applyFont="1" applyFill="1"/>
    <xf numFmtId="39" fontId="14" fillId="0" borderId="0" xfId="0" applyNumberFormat="1" applyFont="1"/>
    <xf numFmtId="0" fontId="13" fillId="2" borderId="4" xfId="0" applyFont="1" applyFill="1" applyBorder="1" applyAlignment="1" applyProtection="1">
      <alignment horizontal="center"/>
    </xf>
    <xf numFmtId="39" fontId="9" fillId="3" borderId="0" xfId="0" applyNumberFormat="1" applyFont="1" applyFill="1" applyBorder="1" applyProtection="1"/>
    <xf numFmtId="0" fontId="3" fillId="3" borderId="0" xfId="0" quotePrefix="1" applyFont="1" applyFill="1"/>
    <xf numFmtId="0" fontId="3" fillId="3" borderId="0" xfId="0" applyFont="1" applyFill="1"/>
    <xf numFmtId="0" fontId="0" fillId="0" borderId="0" xfId="0" quotePrefix="1" applyFill="1"/>
    <xf numFmtId="0" fontId="3" fillId="4" borderId="0" xfId="0" quotePrefix="1" applyFont="1" applyFill="1"/>
    <xf numFmtId="0" fontId="2" fillId="0" borderId="0" xfId="0" applyFont="1"/>
    <xf numFmtId="37" fontId="3" fillId="0" borderId="0" xfId="0" applyNumberFormat="1" applyFont="1"/>
    <xf numFmtId="0" fontId="0" fillId="5" borderId="0" xfId="0" applyFill="1"/>
    <xf numFmtId="0" fontId="2" fillId="0" borderId="0" xfId="0" quotePrefix="1" applyFont="1"/>
    <xf numFmtId="0" fontId="3" fillId="5" borderId="0" xfId="0" applyFont="1" applyFill="1"/>
    <xf numFmtId="37" fontId="9" fillId="6" borderId="0" xfId="0" applyNumberFormat="1" applyFont="1" applyFill="1" applyProtection="1"/>
    <xf numFmtId="37" fontId="9" fillId="6" borderId="17" xfId="0" applyNumberFormat="1" applyFont="1" applyFill="1" applyBorder="1" applyProtection="1"/>
    <xf numFmtId="37" fontId="9" fillId="0" borderId="28" xfId="0" applyNumberFormat="1" applyFont="1" applyBorder="1" applyProtection="1"/>
    <xf numFmtId="37" fontId="9" fillId="0" borderId="29" xfId="0" applyNumberFormat="1" applyFont="1" applyBorder="1" applyProtection="1"/>
    <xf numFmtId="39" fontId="9" fillId="6" borderId="0" xfId="0" applyNumberFormat="1" applyFont="1" applyFill="1" applyBorder="1" applyProtection="1"/>
    <xf numFmtId="39" fontId="9" fillId="6" borderId="12" xfId="0" applyNumberFormat="1" applyFont="1" applyFill="1" applyBorder="1" applyProtection="1"/>
    <xf numFmtId="39" fontId="2" fillId="6" borderId="0" xfId="0" applyNumberFormat="1" applyFont="1" applyFill="1" applyBorder="1" applyProtection="1"/>
    <xf numFmtId="0" fontId="18" fillId="0" borderId="0" xfId="0" quotePrefix="1" applyFont="1" applyBorder="1" applyAlignment="1" applyProtection="1">
      <alignment horizontal="centerContinuous"/>
    </xf>
    <xf numFmtId="0" fontId="18" fillId="0" borderId="0" xfId="0" applyFont="1" applyBorder="1" applyAlignment="1" applyProtection="1">
      <alignment horizontal="centerContinuous"/>
    </xf>
    <xf numFmtId="0" fontId="18" fillId="0" borderId="0" xfId="0" applyFont="1" applyAlignment="1">
      <alignment horizontal="left"/>
    </xf>
    <xf numFmtId="39" fontId="9" fillId="0" borderId="19" xfId="0" applyNumberFormat="1" applyFont="1" applyBorder="1" applyProtection="1"/>
    <xf numFmtId="39" fontId="2" fillId="0" borderId="19" xfId="0" applyNumberFormat="1" applyFont="1" applyBorder="1" applyProtection="1"/>
    <xf numFmtId="39" fontId="9" fillId="7" borderId="0" xfId="0" applyNumberFormat="1" applyFont="1" applyFill="1" applyBorder="1" applyProtection="1"/>
    <xf numFmtId="39" fontId="9" fillId="7" borderId="12" xfId="0" applyNumberFormat="1" applyFont="1" applyFill="1" applyBorder="1" applyProtection="1"/>
    <xf numFmtId="37" fontId="9" fillId="0" borderId="0" xfId="0" applyNumberFormat="1" applyFont="1" applyFill="1" applyBorder="1" applyProtection="1"/>
    <xf numFmtId="39" fontId="7" fillId="0" borderId="0" xfId="0" applyNumberFormat="1" applyFont="1"/>
    <xf numFmtId="37" fontId="2" fillId="0" borderId="0" xfId="0" applyNumberFormat="1" applyFont="1"/>
    <xf numFmtId="0" fontId="2" fillId="5" borderId="9" xfId="0" applyFont="1" applyFill="1" applyBorder="1" applyAlignment="1" applyProtection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219075</xdr:colOff>
      <xdr:row>305</xdr:row>
      <xdr:rowOff>85725</xdr:rowOff>
    </xdr:from>
    <xdr:to>
      <xdr:col>15</xdr:col>
      <xdr:colOff>533400</xdr:colOff>
      <xdr:row>305</xdr:row>
      <xdr:rowOff>85725</xdr:rowOff>
    </xdr:to>
    <xdr:sp macro="" textlink="">
      <xdr:nvSpPr>
        <xdr:cNvPr id="1393" name="Line 1"/>
        <xdr:cNvSpPr>
          <a:spLocks noChangeShapeType="1"/>
        </xdr:cNvSpPr>
      </xdr:nvSpPr>
      <xdr:spPr bwMode="auto">
        <a:xfrm>
          <a:off x="7715250" y="46910625"/>
          <a:ext cx="31527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7</xdr:col>
      <xdr:colOff>142875</xdr:colOff>
      <xdr:row>305</xdr:row>
      <xdr:rowOff>85725</xdr:rowOff>
    </xdr:from>
    <xdr:to>
      <xdr:col>10</xdr:col>
      <xdr:colOff>200025</xdr:colOff>
      <xdr:row>305</xdr:row>
      <xdr:rowOff>85725</xdr:rowOff>
    </xdr:to>
    <xdr:sp macro="" textlink="">
      <xdr:nvSpPr>
        <xdr:cNvPr id="1394" name="Line 2"/>
        <xdr:cNvSpPr>
          <a:spLocks noChangeShapeType="1"/>
        </xdr:cNvSpPr>
      </xdr:nvSpPr>
      <xdr:spPr bwMode="auto">
        <a:xfrm flipH="1" flipV="1">
          <a:off x="4800600" y="46910625"/>
          <a:ext cx="2190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3</xdr:col>
      <xdr:colOff>590550</xdr:colOff>
      <xdr:row>305</xdr:row>
      <xdr:rowOff>66675</xdr:rowOff>
    </xdr:from>
    <xdr:to>
      <xdr:col>5</xdr:col>
      <xdr:colOff>514350</xdr:colOff>
      <xdr:row>305</xdr:row>
      <xdr:rowOff>66675</xdr:rowOff>
    </xdr:to>
    <xdr:sp macro="" textlink="">
      <xdr:nvSpPr>
        <xdr:cNvPr id="1395" name="Line 3"/>
        <xdr:cNvSpPr>
          <a:spLocks noChangeShapeType="1"/>
        </xdr:cNvSpPr>
      </xdr:nvSpPr>
      <xdr:spPr bwMode="auto">
        <a:xfrm>
          <a:off x="2266950" y="46891575"/>
          <a:ext cx="1362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</xdr:col>
      <xdr:colOff>161925</xdr:colOff>
      <xdr:row>305</xdr:row>
      <xdr:rowOff>76200</xdr:rowOff>
    </xdr:from>
    <xdr:to>
      <xdr:col>2</xdr:col>
      <xdr:colOff>742950</xdr:colOff>
      <xdr:row>305</xdr:row>
      <xdr:rowOff>76200</xdr:rowOff>
    </xdr:to>
    <xdr:sp macro="" textlink="">
      <xdr:nvSpPr>
        <xdr:cNvPr id="1396" name="Line 4"/>
        <xdr:cNvSpPr>
          <a:spLocks noChangeShapeType="1"/>
        </xdr:cNvSpPr>
      </xdr:nvSpPr>
      <xdr:spPr bwMode="auto">
        <a:xfrm flipH="1">
          <a:off x="504825" y="46901100"/>
          <a:ext cx="1171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3</xdr:col>
      <xdr:colOff>609600</xdr:colOff>
      <xdr:row>255</xdr:row>
      <xdr:rowOff>85725</xdr:rowOff>
    </xdr:from>
    <xdr:to>
      <xdr:col>5</xdr:col>
      <xdr:colOff>533400</xdr:colOff>
      <xdr:row>255</xdr:row>
      <xdr:rowOff>85725</xdr:rowOff>
    </xdr:to>
    <xdr:sp macro="" textlink="">
      <xdr:nvSpPr>
        <xdr:cNvPr id="1397" name="Line 5"/>
        <xdr:cNvSpPr>
          <a:spLocks noChangeShapeType="1"/>
        </xdr:cNvSpPr>
      </xdr:nvSpPr>
      <xdr:spPr bwMode="auto">
        <a:xfrm>
          <a:off x="2286000" y="38500050"/>
          <a:ext cx="1362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</xdr:col>
      <xdr:colOff>295275</xdr:colOff>
      <xdr:row>255</xdr:row>
      <xdr:rowOff>85725</xdr:rowOff>
    </xdr:from>
    <xdr:to>
      <xdr:col>2</xdr:col>
      <xdr:colOff>742950</xdr:colOff>
      <xdr:row>255</xdr:row>
      <xdr:rowOff>85725</xdr:rowOff>
    </xdr:to>
    <xdr:sp macro="" textlink="">
      <xdr:nvSpPr>
        <xdr:cNvPr id="1398" name="Line 6"/>
        <xdr:cNvSpPr>
          <a:spLocks noChangeShapeType="1"/>
        </xdr:cNvSpPr>
      </xdr:nvSpPr>
      <xdr:spPr bwMode="auto">
        <a:xfrm flipH="1">
          <a:off x="638175" y="38500050"/>
          <a:ext cx="1038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11</xdr:col>
      <xdr:colOff>38100</xdr:colOff>
      <xdr:row>255</xdr:row>
      <xdr:rowOff>85725</xdr:rowOff>
    </xdr:from>
    <xdr:to>
      <xdr:col>15</xdr:col>
      <xdr:colOff>400050</xdr:colOff>
      <xdr:row>255</xdr:row>
      <xdr:rowOff>85725</xdr:rowOff>
    </xdr:to>
    <xdr:sp macro="" textlink="">
      <xdr:nvSpPr>
        <xdr:cNvPr id="1399" name="Line 7"/>
        <xdr:cNvSpPr>
          <a:spLocks noChangeShapeType="1"/>
        </xdr:cNvSpPr>
      </xdr:nvSpPr>
      <xdr:spPr bwMode="auto">
        <a:xfrm>
          <a:off x="7534275" y="38500050"/>
          <a:ext cx="3200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7</xdr:col>
      <xdr:colOff>219075</xdr:colOff>
      <xdr:row>255</xdr:row>
      <xdr:rowOff>85725</xdr:rowOff>
    </xdr:from>
    <xdr:to>
      <xdr:col>9</xdr:col>
      <xdr:colOff>752475</xdr:colOff>
      <xdr:row>255</xdr:row>
      <xdr:rowOff>85725</xdr:rowOff>
    </xdr:to>
    <xdr:sp macro="" textlink="">
      <xdr:nvSpPr>
        <xdr:cNvPr id="1400" name="Line 8"/>
        <xdr:cNvSpPr>
          <a:spLocks noChangeShapeType="1"/>
        </xdr:cNvSpPr>
      </xdr:nvSpPr>
      <xdr:spPr bwMode="auto">
        <a:xfrm flipH="1">
          <a:off x="4876800" y="38500050"/>
          <a:ext cx="1914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215"/>
  <sheetViews>
    <sheetView topLeftCell="A1170" zoomScaleNormal="100" workbookViewId="0">
      <selection activeCell="A1204" sqref="A1204"/>
    </sheetView>
  </sheetViews>
  <sheetFormatPr defaultColWidth="12.6640625" defaultRowHeight="11.25" x14ac:dyDescent="0.2"/>
  <cols>
    <col min="1" max="1" width="6" style="1" customWidth="1"/>
    <col min="2" max="2" width="10.83203125" style="1" customWidth="1"/>
    <col min="3" max="3" width="12.5" style="1" customWidth="1"/>
    <col min="4" max="4" width="12.83203125" style="1" customWidth="1"/>
    <col min="5" max="5" width="12.33203125" style="1" customWidth="1"/>
    <col min="6" max="6" width="12.83203125" style="1" customWidth="1"/>
    <col min="7" max="7" width="14.1640625" style="1" customWidth="1"/>
    <col min="8" max="8" width="13.1640625" style="1" customWidth="1"/>
    <col min="9" max="9" width="12" style="1" customWidth="1"/>
    <col min="10" max="10" width="12.1640625" style="1" customWidth="1"/>
    <col min="11" max="11" width="12.33203125" style="1" customWidth="1"/>
    <col min="12" max="12" width="13.5" style="1" customWidth="1"/>
    <col min="13" max="14" width="12.1640625" style="1" customWidth="1"/>
    <col min="15" max="15" width="13.1640625" style="1" customWidth="1"/>
    <col min="16" max="16" width="12" style="1" customWidth="1"/>
    <col min="17" max="17" width="13.6640625" style="1" customWidth="1"/>
    <col min="18" max="22" width="12.5" style="1" customWidth="1"/>
    <col min="23" max="23" width="15.83203125" style="1" customWidth="1"/>
    <col min="24" max="24" width="15.1640625" style="1" customWidth="1"/>
    <col min="25" max="25" width="12.6640625" style="1"/>
    <col min="26" max="26" width="13.5" style="1" bestFit="1" customWidth="1"/>
    <col min="27" max="28" width="18" style="1" customWidth="1"/>
    <col min="29" max="29" width="19.33203125" style="1" customWidth="1"/>
    <col min="30" max="16384" width="12.6640625" style="1"/>
  </cols>
  <sheetData>
    <row r="1" spans="1:25" x14ac:dyDescent="0.2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W1" s="2"/>
      <c r="X1" s="2"/>
    </row>
    <row r="2" spans="1:25" x14ac:dyDescent="0.2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W2" s="2"/>
      <c r="X2" s="2"/>
    </row>
    <row r="3" spans="1:25" x14ac:dyDescent="0.2">
      <c r="B3" s="2"/>
      <c r="C3" s="2"/>
      <c r="D3" s="3" t="s">
        <v>0</v>
      </c>
      <c r="E3" s="2"/>
      <c r="F3" s="2"/>
      <c r="G3" s="2"/>
      <c r="H3" s="2"/>
      <c r="I3" s="2"/>
      <c r="J3" s="2"/>
      <c r="K3" s="4">
        <f ca="1">NOW()</f>
        <v>42312.648458217591</v>
      </c>
      <c r="L3" s="5">
        <f ca="1">NOW()</f>
        <v>42312.648458217591</v>
      </c>
      <c r="M3" s="2"/>
      <c r="N3" s="6" t="s">
        <v>1</v>
      </c>
      <c r="O3" s="2"/>
      <c r="P3" s="2"/>
      <c r="Q3" s="2"/>
      <c r="W3" s="2"/>
      <c r="X3" s="2"/>
    </row>
    <row r="4" spans="1:25" x14ac:dyDescent="0.2">
      <c r="B4" s="2"/>
      <c r="C4" s="2"/>
      <c r="D4" s="6" t="s">
        <v>2</v>
      </c>
      <c r="E4" s="2"/>
      <c r="F4" s="6" t="s">
        <v>2</v>
      </c>
      <c r="G4" s="2"/>
      <c r="H4" s="6" t="s">
        <v>3</v>
      </c>
      <c r="I4" s="6" t="s">
        <v>4</v>
      </c>
      <c r="J4" s="2"/>
      <c r="K4" s="2"/>
      <c r="L4" s="2"/>
      <c r="M4" s="2"/>
      <c r="N4" s="6" t="s">
        <v>5</v>
      </c>
      <c r="O4" s="2"/>
      <c r="P4" s="2"/>
      <c r="Q4" s="2"/>
      <c r="W4" s="2"/>
      <c r="X4" s="2"/>
    </row>
    <row r="5" spans="1:25" x14ac:dyDescent="0.2">
      <c r="B5" s="2"/>
      <c r="C5" s="2"/>
      <c r="D5" s="2"/>
      <c r="E5" s="2"/>
      <c r="F5" s="3" t="s">
        <v>6</v>
      </c>
      <c r="G5" s="2"/>
      <c r="H5" s="2"/>
      <c r="I5" s="2"/>
      <c r="J5" s="2"/>
      <c r="K5" s="2"/>
      <c r="L5" s="2"/>
      <c r="M5" s="2"/>
      <c r="N5" s="2"/>
      <c r="O5" s="2"/>
      <c r="P5" s="2"/>
      <c r="Q5" s="2"/>
      <c r="W5" s="2"/>
      <c r="X5" s="2"/>
    </row>
    <row r="6" spans="1:25" x14ac:dyDescent="0.2"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W6" s="2"/>
      <c r="X6" s="7" t="s">
        <v>7</v>
      </c>
    </row>
    <row r="7" spans="1:25" x14ac:dyDescent="0.2">
      <c r="B7" s="3" t="s">
        <v>8</v>
      </c>
      <c r="H7" s="3" t="s">
        <v>9</v>
      </c>
      <c r="Q7" s="2"/>
      <c r="W7" s="2"/>
      <c r="X7" s="7" t="s">
        <v>10</v>
      </c>
    </row>
    <row r="8" spans="1:25" x14ac:dyDescent="0.2">
      <c r="B8" s="7" t="s">
        <v>11</v>
      </c>
      <c r="C8" s="7" t="s">
        <v>12</v>
      </c>
      <c r="D8" s="7" t="s">
        <v>13</v>
      </c>
      <c r="E8" s="7" t="s">
        <v>14</v>
      </c>
      <c r="F8" s="7" t="s">
        <v>15</v>
      </c>
      <c r="G8" s="7" t="s">
        <v>16</v>
      </c>
      <c r="H8" s="7" t="s">
        <v>17</v>
      </c>
      <c r="I8" s="2"/>
      <c r="J8" s="2"/>
      <c r="K8" s="2"/>
      <c r="L8" s="2"/>
      <c r="M8" s="7" t="s">
        <v>18</v>
      </c>
      <c r="N8" s="7" t="s">
        <v>19</v>
      </c>
      <c r="O8" s="7" t="s">
        <v>20</v>
      </c>
      <c r="P8" s="7" t="s">
        <v>21</v>
      </c>
      <c r="Q8" s="7" t="s">
        <v>16</v>
      </c>
      <c r="W8" s="7" t="s">
        <v>7</v>
      </c>
      <c r="X8" s="7" t="s">
        <v>22</v>
      </c>
    </row>
    <row r="9" spans="1:25" x14ac:dyDescent="0.2">
      <c r="B9" s="7" t="s">
        <v>23</v>
      </c>
      <c r="C9" s="7" t="s">
        <v>24</v>
      </c>
      <c r="D9" s="7" t="s">
        <v>25</v>
      </c>
      <c r="E9" s="7" t="s">
        <v>26</v>
      </c>
      <c r="F9" s="7" t="s">
        <v>27</v>
      </c>
      <c r="G9" s="7" t="s">
        <v>28</v>
      </c>
      <c r="H9" s="7" t="s">
        <v>29</v>
      </c>
      <c r="I9" s="7" t="s">
        <v>30</v>
      </c>
      <c r="J9" s="7" t="s">
        <v>31</v>
      </c>
      <c r="K9" s="7" t="s">
        <v>32</v>
      </c>
      <c r="L9" s="7" t="s">
        <v>33</v>
      </c>
      <c r="M9" s="7" t="s">
        <v>34</v>
      </c>
      <c r="N9" s="7" t="s">
        <v>35</v>
      </c>
      <c r="O9" s="7" t="s">
        <v>36</v>
      </c>
      <c r="P9" s="7" t="s">
        <v>37</v>
      </c>
      <c r="Q9" s="7" t="s">
        <v>28</v>
      </c>
      <c r="W9" s="7" t="s">
        <v>10</v>
      </c>
      <c r="X9" s="7" t="s">
        <v>38</v>
      </c>
    </row>
    <row r="10" spans="1:25" x14ac:dyDescent="0.2">
      <c r="B10" s="7" t="s">
        <v>39</v>
      </c>
      <c r="C10" s="7" t="s">
        <v>40</v>
      </c>
      <c r="D10" s="7" t="s">
        <v>40</v>
      </c>
      <c r="E10" s="7" t="s">
        <v>40</v>
      </c>
      <c r="F10" s="7" t="s">
        <v>40</v>
      </c>
      <c r="G10" s="7" t="s">
        <v>40</v>
      </c>
      <c r="H10" s="7" t="s">
        <v>40</v>
      </c>
      <c r="I10" s="7" t="s">
        <v>40</v>
      </c>
      <c r="J10" s="7" t="s">
        <v>40</v>
      </c>
      <c r="K10" s="7" t="s">
        <v>40</v>
      </c>
      <c r="L10" s="7" t="s">
        <v>40</v>
      </c>
      <c r="M10" s="7" t="s">
        <v>40</v>
      </c>
      <c r="N10" s="7" t="s">
        <v>40</v>
      </c>
      <c r="O10" s="7" t="s">
        <v>40</v>
      </c>
      <c r="P10" s="7" t="s">
        <v>40</v>
      </c>
      <c r="Q10" s="7" t="s">
        <v>40</v>
      </c>
      <c r="W10" s="7" t="s">
        <v>40</v>
      </c>
      <c r="X10" s="7" t="s">
        <v>40</v>
      </c>
    </row>
    <row r="11" spans="1:25" x14ac:dyDescent="0.2">
      <c r="A11" s="8" t="s">
        <v>41</v>
      </c>
      <c r="B11" s="2">
        <v>2851.97</v>
      </c>
      <c r="C11" s="2">
        <v>138778.79999999999</v>
      </c>
      <c r="D11" s="2">
        <v>167553.12</v>
      </c>
      <c r="E11" s="2">
        <v>203202.72</v>
      </c>
      <c r="F11" s="2">
        <v>117389.04</v>
      </c>
      <c r="G11" s="2">
        <f>SUM(B11:F11)</f>
        <v>629775.65</v>
      </c>
      <c r="H11" s="2">
        <v>80664.710000000006</v>
      </c>
      <c r="I11" s="2">
        <v>15487.57</v>
      </c>
      <c r="J11" s="2">
        <v>53240.11</v>
      </c>
      <c r="K11" s="2">
        <v>51760.68</v>
      </c>
      <c r="L11" s="2">
        <v>0</v>
      </c>
      <c r="M11" s="2">
        <v>31783.65</v>
      </c>
      <c r="N11" s="2">
        <v>64995.87</v>
      </c>
      <c r="O11" s="2">
        <v>45550.46</v>
      </c>
      <c r="P11" s="2">
        <v>31584.6</v>
      </c>
      <c r="Q11" s="2">
        <f>SUM(H11:P11)</f>
        <v>375067.65</v>
      </c>
      <c r="W11" s="2">
        <f>Q11+G11</f>
        <v>1004843.3</v>
      </c>
      <c r="X11" s="2"/>
      <c r="Y11" s="9"/>
    </row>
    <row r="12" spans="1:25" x14ac:dyDescent="0.2">
      <c r="A12" s="8" t="s">
        <v>42</v>
      </c>
      <c r="B12" s="2">
        <f t="shared" ref="B12:Q12" si="0">B11</f>
        <v>2851.97</v>
      </c>
      <c r="C12" s="2">
        <f t="shared" si="0"/>
        <v>138778.79999999999</v>
      </c>
      <c r="D12" s="2">
        <f t="shared" si="0"/>
        <v>167553.12</v>
      </c>
      <c r="E12" s="2">
        <f t="shared" si="0"/>
        <v>203202.72</v>
      </c>
      <c r="F12" s="2">
        <f t="shared" si="0"/>
        <v>117389.04</v>
      </c>
      <c r="G12" s="2">
        <f t="shared" si="0"/>
        <v>629775.65</v>
      </c>
      <c r="H12" s="2">
        <f t="shared" si="0"/>
        <v>80664.710000000006</v>
      </c>
      <c r="I12" s="2">
        <f t="shared" si="0"/>
        <v>15487.57</v>
      </c>
      <c r="J12" s="2">
        <f t="shared" si="0"/>
        <v>53240.11</v>
      </c>
      <c r="K12" s="2">
        <f t="shared" si="0"/>
        <v>51760.68</v>
      </c>
      <c r="L12" s="2">
        <f t="shared" si="0"/>
        <v>0</v>
      </c>
      <c r="M12" s="2">
        <f t="shared" si="0"/>
        <v>31783.65</v>
      </c>
      <c r="N12" s="2">
        <f t="shared" si="0"/>
        <v>64995.87</v>
      </c>
      <c r="O12" s="2">
        <f t="shared" si="0"/>
        <v>45550.46</v>
      </c>
      <c r="P12" s="2">
        <f t="shared" si="0"/>
        <v>31584.6</v>
      </c>
      <c r="Q12" s="2">
        <f t="shared" si="0"/>
        <v>375067.65</v>
      </c>
      <c r="W12" s="2">
        <f>W11</f>
        <v>1004843.3</v>
      </c>
      <c r="X12" s="2">
        <v>153561839.80000001</v>
      </c>
    </row>
    <row r="13" spans="1:25" x14ac:dyDescent="0.2"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W13" s="2"/>
      <c r="X13" s="2"/>
    </row>
    <row r="14" spans="1:25" x14ac:dyDescent="0.2">
      <c r="A14" s="8" t="s">
        <v>43</v>
      </c>
      <c r="B14" s="2">
        <v>0</v>
      </c>
      <c r="C14" s="2">
        <v>73081.679999999993</v>
      </c>
      <c r="D14" s="2">
        <v>143107.68</v>
      </c>
      <c r="E14" s="2">
        <v>101601.36</v>
      </c>
      <c r="F14" s="2">
        <v>65187.839999999997</v>
      </c>
      <c r="G14" s="2">
        <f>SUM(B14:F14)</f>
        <v>382978.55999999994</v>
      </c>
      <c r="H14" s="2">
        <v>92540.22</v>
      </c>
      <c r="I14" s="2">
        <v>36330.75</v>
      </c>
      <c r="J14" s="2">
        <v>32081.45</v>
      </c>
      <c r="K14" s="2">
        <v>35038.050000000003</v>
      </c>
      <c r="L14" s="2">
        <v>0</v>
      </c>
      <c r="M14" s="2">
        <v>27063.55</v>
      </c>
      <c r="N14" s="2">
        <v>39647.919999999998</v>
      </c>
      <c r="O14" s="2">
        <v>84358.9</v>
      </c>
      <c r="P14" s="2">
        <v>7004.54</v>
      </c>
      <c r="Q14" s="2">
        <f>SUM(H14:P14)</f>
        <v>354065.37999999995</v>
      </c>
      <c r="W14" s="2">
        <f>Q14+G14</f>
        <v>737043.94</v>
      </c>
      <c r="X14" s="2"/>
      <c r="Y14" s="9"/>
    </row>
    <row r="15" spans="1:25" x14ac:dyDescent="0.2">
      <c r="A15" s="8" t="s">
        <v>42</v>
      </c>
      <c r="B15" s="2">
        <f t="shared" ref="B15:Q15" si="1">B12+B14</f>
        <v>2851.97</v>
      </c>
      <c r="C15" s="2">
        <f t="shared" si="1"/>
        <v>211860.47999999998</v>
      </c>
      <c r="D15" s="2">
        <f t="shared" si="1"/>
        <v>310660.8</v>
      </c>
      <c r="E15" s="2">
        <f t="shared" si="1"/>
        <v>304804.08</v>
      </c>
      <c r="F15" s="2">
        <f t="shared" si="1"/>
        <v>182576.88</v>
      </c>
      <c r="G15" s="2">
        <f t="shared" si="1"/>
        <v>1012754.21</v>
      </c>
      <c r="H15" s="2">
        <f t="shared" si="1"/>
        <v>173204.93</v>
      </c>
      <c r="I15" s="2">
        <f t="shared" si="1"/>
        <v>51818.32</v>
      </c>
      <c r="J15" s="2">
        <f t="shared" si="1"/>
        <v>85321.56</v>
      </c>
      <c r="K15" s="2">
        <f t="shared" si="1"/>
        <v>86798.73000000001</v>
      </c>
      <c r="L15" s="2">
        <f t="shared" si="1"/>
        <v>0</v>
      </c>
      <c r="M15" s="2">
        <f t="shared" si="1"/>
        <v>58847.199999999997</v>
      </c>
      <c r="N15" s="2">
        <f t="shared" si="1"/>
        <v>104643.79000000001</v>
      </c>
      <c r="O15" s="2">
        <f t="shared" si="1"/>
        <v>129909.35999999999</v>
      </c>
      <c r="P15" s="2">
        <f t="shared" si="1"/>
        <v>38589.14</v>
      </c>
      <c r="Q15" s="2">
        <f t="shared" si="1"/>
        <v>729133.03</v>
      </c>
      <c r="W15" s="2">
        <f>W12+W14</f>
        <v>1741887.24</v>
      </c>
      <c r="X15" s="2">
        <f>W14+X12</f>
        <v>154298883.74000001</v>
      </c>
    </row>
    <row r="16" spans="1:25" x14ac:dyDescent="0.2"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W16" s="9"/>
      <c r="X16" s="9"/>
      <c r="Y16" s="9"/>
    </row>
    <row r="17" spans="1:29" x14ac:dyDescent="0.2">
      <c r="A17" s="8" t="s">
        <v>44</v>
      </c>
      <c r="B17" s="2">
        <v>0</v>
      </c>
      <c r="C17" s="2">
        <v>147436.56</v>
      </c>
      <c r="D17" s="2">
        <v>3564.96</v>
      </c>
      <c r="E17" s="2">
        <v>0</v>
      </c>
      <c r="F17" s="2">
        <v>64933.2</v>
      </c>
      <c r="G17" s="2">
        <f>SUM(B17:F17)</f>
        <v>215934.71999999997</v>
      </c>
      <c r="H17" s="2">
        <v>0</v>
      </c>
      <c r="I17" s="2">
        <v>0</v>
      </c>
      <c r="J17" s="2">
        <v>70108.69</v>
      </c>
      <c r="K17" s="2">
        <v>68211.320000000007</v>
      </c>
      <c r="L17" s="2">
        <v>0</v>
      </c>
      <c r="M17" s="2">
        <v>10947.48</v>
      </c>
      <c r="N17" s="2">
        <v>32081.09</v>
      </c>
      <c r="O17" s="2">
        <v>1069.76</v>
      </c>
      <c r="P17" s="2">
        <v>0</v>
      </c>
      <c r="Q17" s="2">
        <f>SUM(H17:P17)</f>
        <v>182418.34000000003</v>
      </c>
      <c r="W17" s="2">
        <f>Q17+G17</f>
        <v>398353.06</v>
      </c>
      <c r="X17" s="2"/>
      <c r="Y17" s="9"/>
    </row>
    <row r="18" spans="1:29" x14ac:dyDescent="0.2">
      <c r="A18" s="8" t="s">
        <v>42</v>
      </c>
      <c r="B18" s="2">
        <f t="shared" ref="B18:Q18" si="2">B15+B17</f>
        <v>2851.97</v>
      </c>
      <c r="C18" s="2">
        <f t="shared" si="2"/>
        <v>359297.04</v>
      </c>
      <c r="D18" s="2">
        <f t="shared" si="2"/>
        <v>314225.76</v>
      </c>
      <c r="E18" s="2">
        <f t="shared" si="2"/>
        <v>304804.08</v>
      </c>
      <c r="F18" s="2">
        <f t="shared" si="2"/>
        <v>247510.08000000002</v>
      </c>
      <c r="G18" s="2">
        <f t="shared" si="2"/>
        <v>1228688.93</v>
      </c>
      <c r="H18" s="2">
        <f t="shared" si="2"/>
        <v>173204.93</v>
      </c>
      <c r="I18" s="2">
        <f t="shared" si="2"/>
        <v>51818.32</v>
      </c>
      <c r="J18" s="2">
        <f t="shared" si="2"/>
        <v>155430.25</v>
      </c>
      <c r="K18" s="2">
        <f t="shared" si="2"/>
        <v>155010.05000000002</v>
      </c>
      <c r="L18" s="2">
        <f t="shared" si="2"/>
        <v>0</v>
      </c>
      <c r="M18" s="2">
        <f t="shared" si="2"/>
        <v>69794.679999999993</v>
      </c>
      <c r="N18" s="2">
        <f t="shared" si="2"/>
        <v>136724.88</v>
      </c>
      <c r="O18" s="2">
        <f t="shared" si="2"/>
        <v>130979.11999999998</v>
      </c>
      <c r="P18" s="2">
        <f t="shared" si="2"/>
        <v>38589.14</v>
      </c>
      <c r="Q18" s="2">
        <f t="shared" si="2"/>
        <v>911551.37000000011</v>
      </c>
      <c r="W18" s="2">
        <f>W15+W17</f>
        <v>2140240.2999999998</v>
      </c>
      <c r="X18" s="2">
        <f>W17+X15</f>
        <v>154697236.80000001</v>
      </c>
    </row>
    <row r="19" spans="1:29" x14ac:dyDescent="0.2">
      <c r="X19" s="9"/>
    </row>
    <row r="20" spans="1:29" x14ac:dyDescent="0.2">
      <c r="A20" s="8" t="s">
        <v>45</v>
      </c>
      <c r="B20" s="2">
        <v>0</v>
      </c>
      <c r="C20" s="2">
        <v>139033.44</v>
      </c>
      <c r="D20" s="2">
        <v>22408.32</v>
      </c>
      <c r="E20" s="2">
        <v>20243.88</v>
      </c>
      <c r="F20" s="2">
        <v>70789.919999999998</v>
      </c>
      <c r="G20" s="2">
        <f>SUM(B20:F20)</f>
        <v>252475.56</v>
      </c>
      <c r="H20" s="2">
        <v>0</v>
      </c>
      <c r="I20" s="2">
        <v>0</v>
      </c>
      <c r="J20" s="2">
        <v>65153.86</v>
      </c>
      <c r="K20" s="2">
        <v>61099.18</v>
      </c>
      <c r="L20" s="2">
        <v>0</v>
      </c>
      <c r="M20" s="2">
        <v>20191.04</v>
      </c>
      <c r="N20" s="2">
        <v>50125.78</v>
      </c>
      <c r="O20" s="2">
        <v>0</v>
      </c>
      <c r="P20" s="2">
        <v>0</v>
      </c>
      <c r="Q20" s="2">
        <f>SUM(H20:P20)</f>
        <v>196569.86000000002</v>
      </c>
      <c r="W20" s="2">
        <f>Q20+G20</f>
        <v>449045.42000000004</v>
      </c>
      <c r="X20" s="2"/>
      <c r="Y20" s="9"/>
    </row>
    <row r="21" spans="1:29" x14ac:dyDescent="0.2">
      <c r="A21" s="8" t="s">
        <v>42</v>
      </c>
      <c r="B21" s="2">
        <f t="shared" ref="B21:Q21" si="3">B18+B20</f>
        <v>2851.97</v>
      </c>
      <c r="C21" s="2">
        <f t="shared" si="3"/>
        <v>498330.48</v>
      </c>
      <c r="D21" s="2">
        <f t="shared" si="3"/>
        <v>336634.08</v>
      </c>
      <c r="E21" s="2">
        <f t="shared" si="3"/>
        <v>325047.96000000002</v>
      </c>
      <c r="F21" s="2">
        <f t="shared" si="3"/>
        <v>318300</v>
      </c>
      <c r="G21" s="2">
        <f t="shared" si="3"/>
        <v>1481164.49</v>
      </c>
      <c r="H21" s="2">
        <f t="shared" si="3"/>
        <v>173204.93</v>
      </c>
      <c r="I21" s="2">
        <f t="shared" si="3"/>
        <v>51818.32</v>
      </c>
      <c r="J21" s="2">
        <f t="shared" si="3"/>
        <v>220584.11</v>
      </c>
      <c r="K21" s="2">
        <f t="shared" si="3"/>
        <v>216109.23</v>
      </c>
      <c r="L21" s="2">
        <f t="shared" si="3"/>
        <v>0</v>
      </c>
      <c r="M21" s="2">
        <f t="shared" si="3"/>
        <v>89985.72</v>
      </c>
      <c r="N21" s="2">
        <f t="shared" si="3"/>
        <v>186850.66</v>
      </c>
      <c r="O21" s="2">
        <f t="shared" si="3"/>
        <v>130979.11999999998</v>
      </c>
      <c r="P21" s="2">
        <f t="shared" si="3"/>
        <v>38589.14</v>
      </c>
      <c r="Q21" s="2">
        <f t="shared" si="3"/>
        <v>1108121.2300000002</v>
      </c>
      <c r="W21" s="2">
        <f>W18+W20</f>
        <v>2589285.7199999997</v>
      </c>
      <c r="X21" s="2">
        <f>W20+X18</f>
        <v>155146282.22</v>
      </c>
    </row>
    <row r="22" spans="1:29" x14ac:dyDescent="0.2">
      <c r="X22" s="9"/>
    </row>
    <row r="23" spans="1:29" x14ac:dyDescent="0.2">
      <c r="A23" s="8" t="s">
        <v>46</v>
      </c>
      <c r="B23" s="2">
        <v>0</v>
      </c>
      <c r="C23" s="2">
        <v>146418</v>
      </c>
      <c r="D23" s="2">
        <v>106439.52</v>
      </c>
      <c r="E23" s="2">
        <v>63787.32</v>
      </c>
      <c r="F23" s="2">
        <v>125282.88</v>
      </c>
      <c r="G23" s="2">
        <f>SUM(B23:F23)</f>
        <v>441927.72000000003</v>
      </c>
      <c r="H23" s="2">
        <v>0</v>
      </c>
      <c r="I23" s="2">
        <v>0</v>
      </c>
      <c r="J23" s="2">
        <v>75685.61</v>
      </c>
      <c r="K23" s="2">
        <v>73168.289999999994</v>
      </c>
      <c r="L23" s="2">
        <v>0</v>
      </c>
      <c r="M23" s="2">
        <v>31839.8</v>
      </c>
      <c r="N23" s="2">
        <v>59005.29</v>
      </c>
      <c r="O23" s="2">
        <v>0</v>
      </c>
      <c r="P23" s="2">
        <v>0</v>
      </c>
      <c r="Q23" s="2">
        <f>SUM(H23:P23)</f>
        <v>239698.99</v>
      </c>
      <c r="W23" s="2">
        <f>Q23+G23</f>
        <v>681626.71</v>
      </c>
      <c r="X23" s="2"/>
      <c r="Y23" s="9"/>
    </row>
    <row r="24" spans="1:29" x14ac:dyDescent="0.2">
      <c r="A24" s="8" t="s">
        <v>42</v>
      </c>
      <c r="B24" s="2">
        <f t="shared" ref="B24:Q24" si="4">B21+B23</f>
        <v>2851.97</v>
      </c>
      <c r="C24" s="2">
        <f t="shared" si="4"/>
        <v>644748.48</v>
      </c>
      <c r="D24" s="2">
        <f t="shared" si="4"/>
        <v>443073.60000000003</v>
      </c>
      <c r="E24" s="2">
        <f t="shared" si="4"/>
        <v>388835.28</v>
      </c>
      <c r="F24" s="2">
        <f t="shared" si="4"/>
        <v>443582.88</v>
      </c>
      <c r="G24" s="2">
        <f t="shared" si="4"/>
        <v>1923092.21</v>
      </c>
      <c r="H24" s="2">
        <f t="shared" si="4"/>
        <v>173204.93</v>
      </c>
      <c r="I24" s="2">
        <f t="shared" si="4"/>
        <v>51818.32</v>
      </c>
      <c r="J24" s="2">
        <f t="shared" si="4"/>
        <v>296269.71999999997</v>
      </c>
      <c r="K24" s="2">
        <f t="shared" si="4"/>
        <v>289277.52</v>
      </c>
      <c r="L24" s="2">
        <f t="shared" si="4"/>
        <v>0</v>
      </c>
      <c r="M24" s="2">
        <f t="shared" si="4"/>
        <v>121825.52</v>
      </c>
      <c r="N24" s="2">
        <f t="shared" si="4"/>
        <v>245855.95</v>
      </c>
      <c r="O24" s="2">
        <f t="shared" si="4"/>
        <v>130979.11999999998</v>
      </c>
      <c r="P24" s="2">
        <f t="shared" si="4"/>
        <v>38589.14</v>
      </c>
      <c r="Q24" s="2">
        <f t="shared" si="4"/>
        <v>1347820.2200000002</v>
      </c>
      <c r="W24" s="2">
        <f>W21+W23</f>
        <v>3270912.4299999997</v>
      </c>
      <c r="X24" s="2">
        <f>W23+X21</f>
        <v>155827908.93000001</v>
      </c>
    </row>
    <row r="25" spans="1:29" x14ac:dyDescent="0.2">
      <c r="X25" s="9"/>
    </row>
    <row r="26" spans="1:29" x14ac:dyDescent="0.2">
      <c r="A26" s="8" t="s">
        <v>47</v>
      </c>
      <c r="B26" s="2">
        <v>0</v>
      </c>
      <c r="C26" s="2">
        <v>145399.44</v>
      </c>
      <c r="D26" s="2">
        <v>76901.279999999999</v>
      </c>
      <c r="E26" s="2">
        <v>211605.84</v>
      </c>
      <c r="F26" s="2">
        <v>131139.6</v>
      </c>
      <c r="G26" s="2">
        <f>SUM(B26:F26)</f>
        <v>565046.16</v>
      </c>
      <c r="H26" s="2">
        <v>0</v>
      </c>
      <c r="I26" s="2">
        <v>0</v>
      </c>
      <c r="J26" s="2">
        <v>112877.12</v>
      </c>
      <c r="K26" s="2">
        <v>107746.27</v>
      </c>
      <c r="L26" s="2">
        <v>0</v>
      </c>
      <c r="M26" s="2">
        <v>50725.93</v>
      </c>
      <c r="N26" s="2">
        <v>89866.58</v>
      </c>
      <c r="O26" s="2">
        <v>13322.53</v>
      </c>
      <c r="P26" s="2">
        <v>0</v>
      </c>
      <c r="Q26" s="2">
        <f>SUM(H26:P26)</f>
        <v>374538.43000000005</v>
      </c>
      <c r="W26" s="2">
        <f>Q26+G26</f>
        <v>939584.59000000008</v>
      </c>
      <c r="X26" s="2"/>
      <c r="Y26" s="9"/>
    </row>
    <row r="27" spans="1:29" x14ac:dyDescent="0.2">
      <c r="A27" s="8" t="s">
        <v>42</v>
      </c>
      <c r="B27" s="2">
        <f t="shared" ref="B27:Q27" si="5">B24+B26</f>
        <v>2851.97</v>
      </c>
      <c r="C27" s="2">
        <f t="shared" si="5"/>
        <v>790147.91999999993</v>
      </c>
      <c r="D27" s="2">
        <f t="shared" si="5"/>
        <v>519974.88</v>
      </c>
      <c r="E27" s="2">
        <f t="shared" si="5"/>
        <v>600441.12</v>
      </c>
      <c r="F27" s="2">
        <f t="shared" si="5"/>
        <v>574722.48</v>
      </c>
      <c r="G27" s="2">
        <f t="shared" si="5"/>
        <v>2488138.37</v>
      </c>
      <c r="H27" s="2">
        <f t="shared" si="5"/>
        <v>173204.93</v>
      </c>
      <c r="I27" s="2">
        <f t="shared" si="5"/>
        <v>51818.32</v>
      </c>
      <c r="J27" s="2">
        <f t="shared" si="5"/>
        <v>409146.83999999997</v>
      </c>
      <c r="K27" s="2">
        <f t="shared" si="5"/>
        <v>397023.79000000004</v>
      </c>
      <c r="L27" s="2">
        <f t="shared" si="5"/>
        <v>0</v>
      </c>
      <c r="M27" s="2">
        <f t="shared" si="5"/>
        <v>172551.45</v>
      </c>
      <c r="N27" s="2">
        <f t="shared" si="5"/>
        <v>335722.53</v>
      </c>
      <c r="O27" s="2">
        <f t="shared" si="5"/>
        <v>144301.65</v>
      </c>
      <c r="P27" s="2">
        <f t="shared" si="5"/>
        <v>38589.14</v>
      </c>
      <c r="Q27" s="2">
        <f t="shared" si="5"/>
        <v>1722358.6500000004</v>
      </c>
      <c r="W27" s="2">
        <f>W24+W26</f>
        <v>4210497.0199999996</v>
      </c>
      <c r="X27" s="2">
        <f>W26+X24</f>
        <v>156767493.52000001</v>
      </c>
    </row>
    <row r="28" spans="1:29" x14ac:dyDescent="0.2">
      <c r="X28" s="9"/>
    </row>
    <row r="29" spans="1:29" x14ac:dyDescent="0.2">
      <c r="A29" s="8" t="s">
        <v>48</v>
      </c>
      <c r="B29" s="2">
        <v>0</v>
      </c>
      <c r="C29" s="2">
        <v>109749.84</v>
      </c>
      <c r="D29" s="2">
        <v>188942.88</v>
      </c>
      <c r="E29" s="2">
        <v>189070.2</v>
      </c>
      <c r="F29" s="2">
        <v>139033.44</v>
      </c>
      <c r="G29" s="2">
        <f>SUM(B29:F29)</f>
        <v>626796.36</v>
      </c>
      <c r="H29" s="2">
        <v>0</v>
      </c>
      <c r="I29" s="2">
        <v>0</v>
      </c>
      <c r="J29" s="2">
        <v>117703.83</v>
      </c>
      <c r="K29" s="2">
        <v>107207.03</v>
      </c>
      <c r="L29" s="2">
        <v>15352.72</v>
      </c>
      <c r="M29" s="2">
        <v>56912.06</v>
      </c>
      <c r="N29" s="2">
        <v>90183.46</v>
      </c>
      <c r="O29" s="2">
        <v>2677.26</v>
      </c>
      <c r="P29" s="2">
        <v>0</v>
      </c>
      <c r="Q29" s="2">
        <f>SUM(H29:P29)</f>
        <v>390036.36000000004</v>
      </c>
      <c r="W29" s="2">
        <f>Q29+G29</f>
        <v>1016832.72</v>
      </c>
      <c r="X29" s="2"/>
      <c r="Y29" s="9"/>
    </row>
    <row r="30" spans="1:29" x14ac:dyDescent="0.2">
      <c r="A30" s="8" t="s">
        <v>42</v>
      </c>
      <c r="B30" s="2">
        <f t="shared" ref="B30:Q30" si="6">B27+B29</f>
        <v>2851.97</v>
      </c>
      <c r="C30" s="2">
        <f t="shared" si="6"/>
        <v>899897.75999999989</v>
      </c>
      <c r="D30" s="2">
        <f t="shared" si="6"/>
        <v>708917.76000000001</v>
      </c>
      <c r="E30" s="2">
        <f t="shared" si="6"/>
        <v>789511.32000000007</v>
      </c>
      <c r="F30" s="2">
        <f t="shared" si="6"/>
        <v>713755.91999999993</v>
      </c>
      <c r="G30" s="2">
        <f t="shared" si="6"/>
        <v>3114934.73</v>
      </c>
      <c r="H30" s="2">
        <f t="shared" si="6"/>
        <v>173204.93</v>
      </c>
      <c r="I30" s="2">
        <f t="shared" si="6"/>
        <v>51818.32</v>
      </c>
      <c r="J30" s="2">
        <f t="shared" si="6"/>
        <v>526850.66999999993</v>
      </c>
      <c r="K30" s="2">
        <f t="shared" si="6"/>
        <v>504230.82000000007</v>
      </c>
      <c r="L30" s="2">
        <f t="shared" si="6"/>
        <v>15352.72</v>
      </c>
      <c r="M30" s="2">
        <f t="shared" si="6"/>
        <v>229463.51</v>
      </c>
      <c r="N30" s="2">
        <f t="shared" si="6"/>
        <v>425905.99000000005</v>
      </c>
      <c r="O30" s="2">
        <f t="shared" si="6"/>
        <v>146978.91</v>
      </c>
      <c r="P30" s="2">
        <f t="shared" si="6"/>
        <v>38589.14</v>
      </c>
      <c r="Q30" s="2">
        <f t="shared" si="6"/>
        <v>2112395.0100000002</v>
      </c>
      <c r="W30" s="2">
        <f>W27+W29</f>
        <v>5227329.7399999993</v>
      </c>
      <c r="X30" s="2">
        <f>W29+X27</f>
        <v>157784326.24000001</v>
      </c>
      <c r="AA30" s="2">
        <f>G29</f>
        <v>626796.36</v>
      </c>
      <c r="AB30" s="2">
        <f>Q29</f>
        <v>390036.36000000004</v>
      </c>
      <c r="AC30" s="2">
        <f>AA30+AB30</f>
        <v>1016832.72</v>
      </c>
    </row>
    <row r="31" spans="1:29" x14ac:dyDescent="0.2">
      <c r="X31" s="9"/>
    </row>
    <row r="32" spans="1:29" x14ac:dyDescent="0.2">
      <c r="A32" s="8" t="s">
        <v>49</v>
      </c>
      <c r="B32" s="2">
        <v>0</v>
      </c>
      <c r="C32" s="2">
        <v>143616.95999999999</v>
      </c>
      <c r="D32" s="2">
        <v>240889.44</v>
      </c>
      <c r="E32" s="2">
        <v>37432.080000000002</v>
      </c>
      <c r="F32" s="2">
        <v>125537.52</v>
      </c>
      <c r="G32" s="2">
        <f>SUM(B32:F32)</f>
        <v>547476</v>
      </c>
      <c r="H32" s="2">
        <v>25906.34</v>
      </c>
      <c r="I32" s="2">
        <v>0</v>
      </c>
      <c r="J32" s="2">
        <v>113253.24</v>
      </c>
      <c r="K32" s="2">
        <v>111464.64</v>
      </c>
      <c r="L32" s="2">
        <v>13076.92</v>
      </c>
      <c r="M32" s="2">
        <v>58360.07</v>
      </c>
      <c r="N32" s="2">
        <v>88084.52</v>
      </c>
      <c r="O32" s="2">
        <v>0</v>
      </c>
      <c r="P32" s="2">
        <v>0</v>
      </c>
      <c r="Q32" s="2">
        <f>SUM(H32:P32)</f>
        <v>410145.73000000004</v>
      </c>
      <c r="W32" s="2">
        <f>Q32+G32</f>
        <v>957621.73</v>
      </c>
      <c r="X32" s="2"/>
      <c r="Y32" s="9"/>
    </row>
    <row r="33" spans="1:29" x14ac:dyDescent="0.2">
      <c r="A33" s="8" t="s">
        <v>42</v>
      </c>
      <c r="B33" s="2">
        <f t="shared" ref="B33:Q33" si="7">B30+B32</f>
        <v>2851.97</v>
      </c>
      <c r="C33" s="2">
        <f t="shared" si="7"/>
        <v>1043514.7199999999</v>
      </c>
      <c r="D33" s="2">
        <f t="shared" si="7"/>
        <v>949807.2</v>
      </c>
      <c r="E33" s="2">
        <f t="shared" si="7"/>
        <v>826943.4</v>
      </c>
      <c r="F33" s="2">
        <f t="shared" si="7"/>
        <v>839293.43999999994</v>
      </c>
      <c r="G33" s="2">
        <f t="shared" si="7"/>
        <v>3662410.73</v>
      </c>
      <c r="H33" s="2">
        <f t="shared" si="7"/>
        <v>199111.27</v>
      </c>
      <c r="I33" s="2">
        <f t="shared" si="7"/>
        <v>51818.32</v>
      </c>
      <c r="J33" s="2">
        <f t="shared" si="7"/>
        <v>640103.90999999992</v>
      </c>
      <c r="K33" s="2">
        <f t="shared" si="7"/>
        <v>615695.46000000008</v>
      </c>
      <c r="L33" s="2">
        <f t="shared" si="7"/>
        <v>28429.64</v>
      </c>
      <c r="M33" s="2">
        <f t="shared" si="7"/>
        <v>287823.58</v>
      </c>
      <c r="N33" s="2">
        <f t="shared" si="7"/>
        <v>513990.51000000007</v>
      </c>
      <c r="O33" s="2">
        <f t="shared" si="7"/>
        <v>146978.91</v>
      </c>
      <c r="P33" s="2">
        <f t="shared" si="7"/>
        <v>38589.14</v>
      </c>
      <c r="Q33" s="2">
        <f t="shared" si="7"/>
        <v>2522540.7400000002</v>
      </c>
      <c r="W33" s="2">
        <f>W30+W32</f>
        <v>6184951.4699999988</v>
      </c>
      <c r="X33" s="2">
        <f>W32+X30</f>
        <v>158741947.97</v>
      </c>
      <c r="AA33" s="2">
        <f>G32+AA30</f>
        <v>1174272.3599999999</v>
      </c>
      <c r="AB33" s="2">
        <f>Q32+AB30</f>
        <v>800182.09000000008</v>
      </c>
      <c r="AC33" s="2">
        <f>AA33+AB33</f>
        <v>1974454.45</v>
      </c>
    </row>
    <row r="34" spans="1:29" x14ac:dyDescent="0.2">
      <c r="X34" s="9"/>
    </row>
    <row r="35" spans="1:29" x14ac:dyDescent="0.2">
      <c r="A35" s="8" t="s">
        <v>50</v>
      </c>
      <c r="B35" s="2">
        <v>0</v>
      </c>
      <c r="C35" s="2">
        <v>125792.16</v>
      </c>
      <c r="D35" s="2">
        <v>235796.64</v>
      </c>
      <c r="E35" s="2">
        <v>89760.6</v>
      </c>
      <c r="F35" s="2">
        <v>78429.119999999995</v>
      </c>
      <c r="G35" s="2">
        <f>SUM(B35:F35)</f>
        <v>529778.52</v>
      </c>
      <c r="H35" s="2">
        <v>236605.1</v>
      </c>
      <c r="I35" s="2">
        <v>143038.99</v>
      </c>
      <c r="J35" s="2">
        <v>77435.210000000006</v>
      </c>
      <c r="K35" s="2">
        <v>73892.17</v>
      </c>
      <c r="L35" s="2">
        <v>0</v>
      </c>
      <c r="M35" s="2">
        <v>51275.199999999997</v>
      </c>
      <c r="N35" s="2">
        <v>60400.959999999999</v>
      </c>
      <c r="O35" s="2">
        <v>4713.7</v>
      </c>
      <c r="P35" s="2">
        <v>0</v>
      </c>
      <c r="Q35" s="2">
        <f>SUM(H35:P35)</f>
        <v>647361.32999999984</v>
      </c>
      <c r="W35" s="2">
        <f>Q35+G35</f>
        <v>1177139.8499999999</v>
      </c>
      <c r="X35" s="2"/>
      <c r="Y35" s="9"/>
    </row>
    <row r="36" spans="1:29" x14ac:dyDescent="0.2">
      <c r="A36" s="8" t="s">
        <v>42</v>
      </c>
      <c r="B36" s="2">
        <f t="shared" ref="B36:Q36" si="8">B33+B35</f>
        <v>2851.97</v>
      </c>
      <c r="C36" s="2">
        <f t="shared" si="8"/>
        <v>1169306.8799999999</v>
      </c>
      <c r="D36" s="2">
        <f t="shared" si="8"/>
        <v>1185603.8399999999</v>
      </c>
      <c r="E36" s="2">
        <f t="shared" si="8"/>
        <v>916704</v>
      </c>
      <c r="F36" s="2">
        <f t="shared" si="8"/>
        <v>917722.55999999994</v>
      </c>
      <c r="G36" s="2">
        <f t="shared" si="8"/>
        <v>4192189.25</v>
      </c>
      <c r="H36" s="2">
        <f t="shared" si="8"/>
        <v>435716.37</v>
      </c>
      <c r="I36" s="2">
        <f t="shared" si="8"/>
        <v>194857.31</v>
      </c>
      <c r="J36" s="2">
        <f t="shared" si="8"/>
        <v>717539.11999999988</v>
      </c>
      <c r="K36" s="2">
        <f t="shared" si="8"/>
        <v>689587.63000000012</v>
      </c>
      <c r="L36" s="2">
        <f t="shared" si="8"/>
        <v>28429.64</v>
      </c>
      <c r="M36" s="2">
        <f t="shared" si="8"/>
        <v>339098.78</v>
      </c>
      <c r="N36" s="2">
        <f t="shared" si="8"/>
        <v>574391.47000000009</v>
      </c>
      <c r="O36" s="2">
        <f t="shared" si="8"/>
        <v>151692.61000000002</v>
      </c>
      <c r="P36" s="2">
        <f t="shared" si="8"/>
        <v>38589.14</v>
      </c>
      <c r="Q36" s="2">
        <f t="shared" si="8"/>
        <v>3169902.0700000003</v>
      </c>
      <c r="W36" s="2">
        <f>W33+W35</f>
        <v>7362091.3199999984</v>
      </c>
      <c r="X36" s="2">
        <f>W35+X33</f>
        <v>159919087.81999999</v>
      </c>
      <c r="AA36" s="2">
        <f>G35+AA33</f>
        <v>1704050.88</v>
      </c>
      <c r="AB36" s="2">
        <f>Q35+AB33</f>
        <v>1447543.42</v>
      </c>
      <c r="AC36" s="2">
        <f>AA36+AB36</f>
        <v>3151594.3</v>
      </c>
    </row>
    <row r="37" spans="1:29" x14ac:dyDescent="0.2">
      <c r="X37" s="9"/>
    </row>
    <row r="38" spans="1:29" x14ac:dyDescent="0.2">
      <c r="A38" s="8" t="s">
        <v>51</v>
      </c>
      <c r="B38" s="2">
        <v>29538.240000000002</v>
      </c>
      <c r="C38" s="2">
        <v>123245.75999999999</v>
      </c>
      <c r="D38" s="2">
        <v>210332.64</v>
      </c>
      <c r="E38" s="2">
        <v>190598.04</v>
      </c>
      <c r="F38" s="2">
        <v>131139.6</v>
      </c>
      <c r="G38" s="2">
        <f>SUM(B38:F38)</f>
        <v>684854.28</v>
      </c>
      <c r="H38" s="2">
        <v>251194.97</v>
      </c>
      <c r="I38" s="2">
        <v>166482.51</v>
      </c>
      <c r="J38" s="2">
        <v>64329</v>
      </c>
      <c r="K38" s="2">
        <v>65383.49</v>
      </c>
      <c r="L38" s="2">
        <v>54777.96</v>
      </c>
      <c r="M38" s="2">
        <v>38165.78</v>
      </c>
      <c r="N38" s="2">
        <v>39922.980000000003</v>
      </c>
      <c r="O38" s="2">
        <v>104617.66</v>
      </c>
      <c r="P38" s="2">
        <v>100492.17</v>
      </c>
      <c r="Q38" s="2">
        <f>SUM(H38:P38)</f>
        <v>885366.52</v>
      </c>
      <c r="W38" s="2">
        <f>Q38+G38</f>
        <v>1570220.8</v>
      </c>
      <c r="X38" s="2"/>
      <c r="Y38" s="9"/>
    </row>
    <row r="39" spans="1:29" x14ac:dyDescent="0.2">
      <c r="A39" s="8" t="s">
        <v>42</v>
      </c>
      <c r="B39" s="2">
        <f t="shared" ref="B39:Q39" si="9">B36+B38</f>
        <v>32390.210000000003</v>
      </c>
      <c r="C39" s="2">
        <f t="shared" si="9"/>
        <v>1292552.6399999999</v>
      </c>
      <c r="D39" s="2">
        <f t="shared" si="9"/>
        <v>1395936.48</v>
      </c>
      <c r="E39" s="2">
        <f t="shared" si="9"/>
        <v>1107302.04</v>
      </c>
      <c r="F39" s="2">
        <f t="shared" si="9"/>
        <v>1048862.1599999999</v>
      </c>
      <c r="G39" s="2">
        <f t="shared" si="9"/>
        <v>4877043.53</v>
      </c>
      <c r="H39" s="2">
        <f t="shared" si="9"/>
        <v>686911.34</v>
      </c>
      <c r="I39" s="2">
        <f t="shared" si="9"/>
        <v>361339.82</v>
      </c>
      <c r="J39" s="2">
        <f t="shared" si="9"/>
        <v>781868.11999999988</v>
      </c>
      <c r="K39" s="2">
        <f t="shared" si="9"/>
        <v>754971.12000000011</v>
      </c>
      <c r="L39" s="2">
        <f t="shared" si="9"/>
        <v>83207.600000000006</v>
      </c>
      <c r="M39" s="2">
        <f t="shared" si="9"/>
        <v>377264.56000000006</v>
      </c>
      <c r="N39" s="2">
        <f t="shared" si="9"/>
        <v>614314.45000000007</v>
      </c>
      <c r="O39" s="2">
        <f t="shared" si="9"/>
        <v>256310.27000000002</v>
      </c>
      <c r="P39" s="2">
        <f t="shared" si="9"/>
        <v>139081.31</v>
      </c>
      <c r="Q39" s="2">
        <f t="shared" si="9"/>
        <v>4055268.5900000003</v>
      </c>
      <c r="W39" s="2">
        <f>W36+W38</f>
        <v>8932312.1199999992</v>
      </c>
      <c r="X39" s="2">
        <f>W38+X36</f>
        <v>161489308.62</v>
      </c>
      <c r="AA39" s="2">
        <f>G38+AA36</f>
        <v>2388905.16</v>
      </c>
      <c r="AB39" s="2">
        <f>Q38+AB36</f>
        <v>2332909.94</v>
      </c>
      <c r="AC39" s="2">
        <f>AA39+AB39</f>
        <v>4721815.0999999996</v>
      </c>
    </row>
    <row r="40" spans="1:29" x14ac:dyDescent="0.2">
      <c r="X40" s="9"/>
    </row>
    <row r="41" spans="1:29" x14ac:dyDescent="0.2">
      <c r="A41" s="8" t="s">
        <v>52</v>
      </c>
      <c r="B41" s="2">
        <v>30760.51</v>
      </c>
      <c r="C41" s="2">
        <v>122481.84</v>
      </c>
      <c r="D41" s="2">
        <v>195563.51999999999</v>
      </c>
      <c r="E41" s="2">
        <v>118407.6</v>
      </c>
      <c r="F41" s="2">
        <v>121717.92</v>
      </c>
      <c r="G41" s="2">
        <f>SUM(B41:F41)</f>
        <v>588931.39</v>
      </c>
      <c r="H41" s="2">
        <v>209139.01</v>
      </c>
      <c r="I41" s="2">
        <v>139020.45000000001</v>
      </c>
      <c r="J41" s="2">
        <v>62108.26</v>
      </c>
      <c r="K41" s="2">
        <v>61633.440000000002</v>
      </c>
      <c r="L41" s="2">
        <v>34473.230000000003</v>
      </c>
      <c r="M41" s="2">
        <v>35672.699999999997</v>
      </c>
      <c r="N41" s="2">
        <v>0</v>
      </c>
      <c r="O41" s="2">
        <v>8225.26</v>
      </c>
      <c r="P41" s="2">
        <v>81273.960000000006</v>
      </c>
      <c r="Q41" s="2">
        <f>SUM(H41:P41)</f>
        <v>631546.30999999994</v>
      </c>
      <c r="W41" s="2">
        <f>Q41+G41</f>
        <v>1220477.7</v>
      </c>
      <c r="X41" s="2"/>
      <c r="Y41" s="9"/>
    </row>
    <row r="42" spans="1:29" x14ac:dyDescent="0.2">
      <c r="A42" s="8" t="s">
        <v>42</v>
      </c>
      <c r="B42" s="2">
        <f t="shared" ref="B42:Q42" si="10">B39+B41</f>
        <v>63150.720000000001</v>
      </c>
      <c r="C42" s="2">
        <f t="shared" si="10"/>
        <v>1415034.48</v>
      </c>
      <c r="D42" s="2">
        <f t="shared" si="10"/>
        <v>1591500</v>
      </c>
      <c r="E42" s="2">
        <f t="shared" si="10"/>
        <v>1225709.6400000001</v>
      </c>
      <c r="F42" s="2">
        <f t="shared" si="10"/>
        <v>1170580.0799999998</v>
      </c>
      <c r="G42" s="2">
        <f t="shared" si="10"/>
        <v>5465974.9199999999</v>
      </c>
      <c r="H42" s="2">
        <f t="shared" si="10"/>
        <v>896050.35</v>
      </c>
      <c r="I42" s="2">
        <f t="shared" si="10"/>
        <v>500360.27</v>
      </c>
      <c r="J42" s="2">
        <f t="shared" si="10"/>
        <v>843976.37999999989</v>
      </c>
      <c r="K42" s="2">
        <f t="shared" si="10"/>
        <v>816604.56</v>
      </c>
      <c r="L42" s="2">
        <f t="shared" si="10"/>
        <v>117680.83000000002</v>
      </c>
      <c r="M42" s="2">
        <f t="shared" si="10"/>
        <v>412937.26000000007</v>
      </c>
      <c r="N42" s="2">
        <f t="shared" si="10"/>
        <v>614314.45000000007</v>
      </c>
      <c r="O42" s="2">
        <f t="shared" si="10"/>
        <v>264535.53000000003</v>
      </c>
      <c r="P42" s="2">
        <f t="shared" si="10"/>
        <v>220355.27000000002</v>
      </c>
      <c r="Q42" s="2">
        <f t="shared" si="10"/>
        <v>4686814.9000000004</v>
      </c>
      <c r="W42" s="2">
        <f>W39+W41</f>
        <v>10152789.819999998</v>
      </c>
      <c r="X42" s="2">
        <f>W41+X39</f>
        <v>162709786.31999999</v>
      </c>
      <c r="AA42" s="2">
        <f>G41+AA39</f>
        <v>2977836.5500000003</v>
      </c>
      <c r="AB42" s="2">
        <f>Q41+AB39</f>
        <v>2964456.25</v>
      </c>
      <c r="AC42" s="2">
        <f>AA42+AB42</f>
        <v>5942292.8000000007</v>
      </c>
    </row>
    <row r="43" spans="1:29" x14ac:dyDescent="0.2">
      <c r="X43" s="9"/>
    </row>
    <row r="44" spans="1:29" x14ac:dyDescent="0.2">
      <c r="A44" s="8" t="s">
        <v>53</v>
      </c>
      <c r="B44" s="2">
        <v>22000.9</v>
      </c>
      <c r="C44" s="2">
        <v>129102.48</v>
      </c>
      <c r="D44" s="2">
        <v>237324.48</v>
      </c>
      <c r="E44" s="2">
        <v>82885.320000000007</v>
      </c>
      <c r="F44" s="2">
        <v>128847.84</v>
      </c>
      <c r="G44" s="2">
        <f>SUM(B44:F44)</f>
        <v>600161.02</v>
      </c>
      <c r="H44" s="2">
        <v>205454.57</v>
      </c>
      <c r="I44" s="2">
        <v>135932.65</v>
      </c>
      <c r="J44" s="2">
        <v>67970.789999999994</v>
      </c>
      <c r="K44" s="2">
        <v>66414.679999999993</v>
      </c>
      <c r="L44" s="2">
        <v>0</v>
      </c>
      <c r="M44" s="2">
        <v>28770.53</v>
      </c>
      <c r="N44" s="2">
        <v>0</v>
      </c>
      <c r="O44" s="2">
        <v>0</v>
      </c>
      <c r="P44" s="2">
        <v>89970.240000000005</v>
      </c>
      <c r="Q44" s="2">
        <f>SUM(H44:P44)</f>
        <v>594513.46</v>
      </c>
      <c r="W44" s="2">
        <f>Q44+G44</f>
        <v>1194674.48</v>
      </c>
      <c r="X44" s="2"/>
      <c r="Y44" s="9"/>
    </row>
    <row r="45" spans="1:29" x14ac:dyDescent="0.2">
      <c r="A45" s="8" t="s">
        <v>42</v>
      </c>
      <c r="B45" s="2">
        <f t="shared" ref="B45:Q45" si="11">B42+B44</f>
        <v>85151.62</v>
      </c>
      <c r="C45" s="2">
        <f t="shared" si="11"/>
        <v>1544136.96</v>
      </c>
      <c r="D45" s="2">
        <f t="shared" si="11"/>
        <v>1828824.48</v>
      </c>
      <c r="E45" s="2">
        <f t="shared" si="11"/>
        <v>1308594.9600000002</v>
      </c>
      <c r="F45" s="2">
        <f t="shared" si="11"/>
        <v>1299427.92</v>
      </c>
      <c r="G45" s="2">
        <f t="shared" si="11"/>
        <v>6066135.9399999995</v>
      </c>
      <c r="H45" s="2">
        <f t="shared" si="11"/>
        <v>1101504.92</v>
      </c>
      <c r="I45" s="2">
        <f t="shared" si="11"/>
        <v>636292.92000000004</v>
      </c>
      <c r="J45" s="2">
        <f t="shared" si="11"/>
        <v>911947.16999999993</v>
      </c>
      <c r="K45" s="2">
        <f t="shared" si="11"/>
        <v>883019.24</v>
      </c>
      <c r="L45" s="2">
        <f t="shared" si="11"/>
        <v>117680.83000000002</v>
      </c>
      <c r="M45" s="2">
        <f t="shared" si="11"/>
        <v>441707.79000000004</v>
      </c>
      <c r="N45" s="2">
        <f t="shared" si="11"/>
        <v>614314.45000000007</v>
      </c>
      <c r="O45" s="2">
        <f t="shared" si="11"/>
        <v>264535.53000000003</v>
      </c>
      <c r="P45" s="2">
        <f t="shared" si="11"/>
        <v>310325.51</v>
      </c>
      <c r="Q45" s="2">
        <f t="shared" si="11"/>
        <v>5281328.3600000003</v>
      </c>
      <c r="W45" s="2">
        <f>W42+W44</f>
        <v>11347464.299999999</v>
      </c>
      <c r="X45" s="2">
        <f>W44+X42</f>
        <v>163904460.79999998</v>
      </c>
      <c r="AA45" s="2">
        <f>G44+AA42</f>
        <v>3577997.5700000003</v>
      </c>
      <c r="AB45" s="2">
        <f>Q44+AB42</f>
        <v>3558969.71</v>
      </c>
      <c r="AC45" s="2">
        <f>AA45+AB45</f>
        <v>7136967.2800000003</v>
      </c>
    </row>
    <row r="46" spans="1:29" x14ac:dyDescent="0.2">
      <c r="W46" s="9"/>
      <c r="X46" s="9"/>
    </row>
    <row r="47" spans="1:29" x14ac:dyDescent="0.2">
      <c r="W47" s="9"/>
      <c r="X47" s="9"/>
    </row>
    <row r="48" spans="1:29" x14ac:dyDescent="0.2">
      <c r="W48" s="9"/>
      <c r="X48" s="9"/>
    </row>
    <row r="49" spans="1:29" x14ac:dyDescent="0.2">
      <c r="A49" s="3" t="s">
        <v>54</v>
      </c>
      <c r="W49" s="9"/>
      <c r="X49" s="9"/>
    </row>
    <row r="50" spans="1:29" x14ac:dyDescent="0.2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X50" s="9"/>
    </row>
    <row r="51" spans="1:29" x14ac:dyDescent="0.2"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W51" s="2"/>
      <c r="X51" s="2"/>
    </row>
    <row r="52" spans="1:29" x14ac:dyDescent="0.2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W52" s="2"/>
      <c r="X52" s="2"/>
    </row>
    <row r="53" spans="1:29" x14ac:dyDescent="0.2">
      <c r="B53" s="2"/>
      <c r="C53" s="2"/>
      <c r="D53" s="3" t="s">
        <v>55</v>
      </c>
      <c r="E53" s="2"/>
      <c r="F53" s="2"/>
      <c r="G53" s="2"/>
      <c r="H53" s="2"/>
      <c r="I53" s="2"/>
      <c r="J53" s="2"/>
      <c r="K53" s="4">
        <f ca="1">NOW()</f>
        <v>42312.648458217591</v>
      </c>
      <c r="L53" s="5">
        <f ca="1">NOW()</f>
        <v>42312.648458217591</v>
      </c>
      <c r="M53" s="2"/>
      <c r="N53" s="2" t="str">
        <f>N$3</f>
        <v>C:\SYMPH2\SPRDSHT\HYDRO\HISTCSTA.WR1</v>
      </c>
      <c r="O53" s="2"/>
      <c r="P53" s="2"/>
      <c r="Q53" s="2"/>
      <c r="W53" s="2"/>
      <c r="X53" s="2"/>
    </row>
    <row r="54" spans="1:29" x14ac:dyDescent="0.2">
      <c r="B54" s="2"/>
      <c r="C54" s="2"/>
      <c r="D54" s="6" t="s">
        <v>2</v>
      </c>
      <c r="E54" s="2"/>
      <c r="F54" s="6" t="s">
        <v>2</v>
      </c>
      <c r="G54" s="2"/>
      <c r="H54" s="6" t="s">
        <v>3</v>
      </c>
      <c r="I54" s="6" t="s">
        <v>4</v>
      </c>
      <c r="J54" s="2"/>
      <c r="K54" s="2"/>
      <c r="L54" s="2"/>
      <c r="M54" s="2"/>
      <c r="N54" s="2" t="str">
        <f>N$4</f>
        <v>A:\HISTCSTA.WR1</v>
      </c>
      <c r="O54" s="2"/>
      <c r="P54" s="2"/>
      <c r="Q54" s="2"/>
      <c r="W54" s="2"/>
      <c r="X54" s="2"/>
    </row>
    <row r="55" spans="1:29" x14ac:dyDescent="0.2">
      <c r="B55" s="2"/>
      <c r="C55" s="2"/>
      <c r="D55" s="2"/>
      <c r="E55" s="2"/>
      <c r="F55" s="10" t="str">
        <f>F$5</f>
        <v>Gross Revenue, Dollars</v>
      </c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W55" s="2"/>
      <c r="X55" s="2"/>
    </row>
    <row r="56" spans="1:29" x14ac:dyDescent="0.2"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W56" s="2"/>
      <c r="X56" s="7" t="s">
        <v>7</v>
      </c>
    </row>
    <row r="57" spans="1:29" x14ac:dyDescent="0.2">
      <c r="B57" s="3" t="s">
        <v>8</v>
      </c>
      <c r="H57" s="3" t="s">
        <v>9</v>
      </c>
      <c r="Q57" s="2"/>
      <c r="W57" s="2"/>
      <c r="X57" s="7" t="s">
        <v>10</v>
      </c>
    </row>
    <row r="58" spans="1:29" x14ac:dyDescent="0.2">
      <c r="B58" s="7" t="s">
        <v>11</v>
      </c>
      <c r="C58" s="7" t="s">
        <v>12</v>
      </c>
      <c r="D58" s="7" t="s">
        <v>13</v>
      </c>
      <c r="E58" s="7" t="s">
        <v>14</v>
      </c>
      <c r="F58" s="7" t="s">
        <v>15</v>
      </c>
      <c r="G58" s="7" t="s">
        <v>16</v>
      </c>
      <c r="H58" s="7" t="s">
        <v>17</v>
      </c>
      <c r="I58" s="2"/>
      <c r="J58" s="2"/>
      <c r="K58" s="2"/>
      <c r="L58" s="2"/>
      <c r="M58" s="7" t="s">
        <v>18</v>
      </c>
      <c r="N58" s="7" t="s">
        <v>19</v>
      </c>
      <c r="O58" s="7" t="s">
        <v>20</v>
      </c>
      <c r="P58" s="7" t="s">
        <v>21</v>
      </c>
      <c r="Q58" s="7" t="s">
        <v>16</v>
      </c>
      <c r="W58" s="7" t="s">
        <v>7</v>
      </c>
      <c r="X58" s="7" t="s">
        <v>22</v>
      </c>
      <c r="Y58" s="9"/>
      <c r="AC58" s="3" t="s">
        <v>56</v>
      </c>
    </row>
    <row r="59" spans="1:29" x14ac:dyDescent="0.2">
      <c r="B59" s="7" t="s">
        <v>23</v>
      </c>
      <c r="C59" s="7" t="s">
        <v>24</v>
      </c>
      <c r="D59" s="7" t="s">
        <v>25</v>
      </c>
      <c r="E59" s="7" t="s">
        <v>26</v>
      </c>
      <c r="F59" s="7" t="s">
        <v>27</v>
      </c>
      <c r="G59" s="7" t="s">
        <v>28</v>
      </c>
      <c r="H59" s="7" t="s">
        <v>29</v>
      </c>
      <c r="I59" s="7" t="s">
        <v>30</v>
      </c>
      <c r="J59" s="7" t="s">
        <v>31</v>
      </c>
      <c r="K59" s="7" t="s">
        <v>32</v>
      </c>
      <c r="L59" s="7" t="s">
        <v>33</v>
      </c>
      <c r="M59" s="7" t="s">
        <v>34</v>
      </c>
      <c r="N59" s="7" t="s">
        <v>35</v>
      </c>
      <c r="O59" s="7" t="s">
        <v>36</v>
      </c>
      <c r="P59" s="7" t="s">
        <v>37</v>
      </c>
      <c r="Q59" s="7" t="s">
        <v>28</v>
      </c>
      <c r="W59" s="7" t="s">
        <v>10</v>
      </c>
      <c r="X59" s="7" t="s">
        <v>38</v>
      </c>
      <c r="AA59" s="3" t="s">
        <v>57</v>
      </c>
      <c r="AB59" s="3" t="s">
        <v>57</v>
      </c>
      <c r="AC59" s="3" t="s">
        <v>57</v>
      </c>
    </row>
    <row r="60" spans="1:29" x14ac:dyDescent="0.2">
      <c r="B60" s="7" t="s">
        <v>39</v>
      </c>
      <c r="C60" s="7" t="s">
        <v>40</v>
      </c>
      <c r="D60" s="7" t="s">
        <v>40</v>
      </c>
      <c r="E60" s="7" t="s">
        <v>40</v>
      </c>
      <c r="F60" s="7" t="s">
        <v>40</v>
      </c>
      <c r="G60" s="7" t="s">
        <v>40</v>
      </c>
      <c r="H60" s="7" t="s">
        <v>40</v>
      </c>
      <c r="I60" s="7" t="s">
        <v>40</v>
      </c>
      <c r="J60" s="7" t="s">
        <v>40</v>
      </c>
      <c r="K60" s="7" t="s">
        <v>40</v>
      </c>
      <c r="L60" s="7" t="s">
        <v>40</v>
      </c>
      <c r="M60" s="7" t="s">
        <v>40</v>
      </c>
      <c r="N60" s="7" t="s">
        <v>40</v>
      </c>
      <c r="O60" s="7" t="s">
        <v>40</v>
      </c>
      <c r="P60" s="7" t="s">
        <v>40</v>
      </c>
      <c r="Q60" s="7" t="s">
        <v>40</v>
      </c>
      <c r="W60" s="7" t="s">
        <v>40</v>
      </c>
      <c r="X60" s="7" t="s">
        <v>40</v>
      </c>
      <c r="AA60" s="7" t="s">
        <v>40</v>
      </c>
      <c r="AB60" s="7" t="s">
        <v>40</v>
      </c>
      <c r="AC60" s="7" t="s">
        <v>40</v>
      </c>
    </row>
    <row r="61" spans="1:29" x14ac:dyDescent="0.2">
      <c r="A61" s="8" t="s">
        <v>41</v>
      </c>
      <c r="B61" s="2">
        <v>2937.31</v>
      </c>
      <c r="C61" s="2">
        <v>150012.72</v>
      </c>
      <c r="D61" s="2">
        <v>149488.20000000001</v>
      </c>
      <c r="E61" s="2">
        <v>6687.63</v>
      </c>
      <c r="F61" s="2">
        <v>100183.32</v>
      </c>
      <c r="G61" s="2">
        <f>SUM(B61:F61)</f>
        <v>409309.18</v>
      </c>
      <c r="H61" s="2">
        <v>35211.370000000003</v>
      </c>
      <c r="I61" s="2">
        <v>22956.66</v>
      </c>
      <c r="J61" s="2">
        <v>69676.81</v>
      </c>
      <c r="K61" s="2">
        <v>67096.09</v>
      </c>
      <c r="L61" s="2">
        <v>0</v>
      </c>
      <c r="M61" s="2">
        <v>25906.52</v>
      </c>
      <c r="N61" s="2">
        <v>51116.53</v>
      </c>
      <c r="O61" s="2">
        <v>0</v>
      </c>
      <c r="P61" s="2">
        <v>0</v>
      </c>
      <c r="Q61" s="2">
        <f>SUM(H61:P61)</f>
        <v>271963.98</v>
      </c>
      <c r="W61" s="2">
        <f>Q61+G61</f>
        <v>681273.15999999992</v>
      </c>
      <c r="X61" s="2"/>
    </row>
    <row r="62" spans="1:29" x14ac:dyDescent="0.2">
      <c r="A62" s="8" t="s">
        <v>42</v>
      </c>
      <c r="B62" s="2">
        <f t="shared" ref="B62:Q62" si="12">B45+B61-B11</f>
        <v>85236.959999999992</v>
      </c>
      <c r="C62" s="2">
        <f t="shared" si="12"/>
        <v>1555370.88</v>
      </c>
      <c r="D62" s="2">
        <f t="shared" si="12"/>
        <v>1810759.56</v>
      </c>
      <c r="E62" s="2">
        <f t="shared" si="12"/>
        <v>1112079.8700000001</v>
      </c>
      <c r="F62" s="2">
        <f t="shared" si="12"/>
        <v>1282222.2</v>
      </c>
      <c r="G62" s="2">
        <f t="shared" si="12"/>
        <v>5845669.4699999988</v>
      </c>
      <c r="H62" s="2">
        <f t="shared" si="12"/>
        <v>1056051.58</v>
      </c>
      <c r="I62" s="2">
        <f t="shared" si="12"/>
        <v>643762.01000000013</v>
      </c>
      <c r="J62" s="2">
        <f t="shared" si="12"/>
        <v>928383.87</v>
      </c>
      <c r="K62" s="2">
        <f t="shared" si="12"/>
        <v>898354.64999999991</v>
      </c>
      <c r="L62" s="2">
        <f t="shared" si="12"/>
        <v>117680.83000000002</v>
      </c>
      <c r="M62" s="2">
        <f t="shared" si="12"/>
        <v>435830.66000000003</v>
      </c>
      <c r="N62" s="2">
        <f t="shared" si="12"/>
        <v>600435.1100000001</v>
      </c>
      <c r="O62" s="2">
        <f t="shared" si="12"/>
        <v>218985.07000000004</v>
      </c>
      <c r="P62" s="2">
        <f t="shared" si="12"/>
        <v>278740.91000000003</v>
      </c>
      <c r="Q62" s="2">
        <f t="shared" si="12"/>
        <v>5178224.6899999995</v>
      </c>
      <c r="W62" s="2">
        <f>W45+W61-W11</f>
        <v>11023894.159999998</v>
      </c>
      <c r="X62" s="2">
        <f>W61+X45</f>
        <v>164585733.95999998</v>
      </c>
      <c r="AA62" s="2">
        <f>G61+AA45</f>
        <v>3987306.7500000005</v>
      </c>
      <c r="AB62" s="2">
        <f>Q61+AB45</f>
        <v>3830933.69</v>
      </c>
      <c r="AC62" s="2">
        <f>AA62+AB62</f>
        <v>7818240.4400000004</v>
      </c>
    </row>
    <row r="63" spans="1:29" x14ac:dyDescent="0.2"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W63" s="2"/>
      <c r="X63" s="2"/>
      <c r="Y63" s="9"/>
    </row>
    <row r="64" spans="1:29" x14ac:dyDescent="0.2">
      <c r="A64" s="8" t="s">
        <v>43</v>
      </c>
      <c r="B64" s="2">
        <v>0</v>
      </c>
      <c r="C64" s="2">
        <v>127982.88</v>
      </c>
      <c r="D64" s="2">
        <v>139522.32</v>
      </c>
      <c r="E64" s="2">
        <v>0</v>
      </c>
      <c r="F64" s="2">
        <v>88381.62</v>
      </c>
      <c r="G64" s="2">
        <f>SUM(B64:F64)</f>
        <v>355886.82</v>
      </c>
      <c r="H64" s="2">
        <v>0</v>
      </c>
      <c r="I64" s="2">
        <v>0</v>
      </c>
      <c r="J64" s="2">
        <v>61422.63</v>
      </c>
      <c r="K64" s="2">
        <v>57602.81</v>
      </c>
      <c r="L64" s="2">
        <v>0</v>
      </c>
      <c r="M64" s="2">
        <v>27103.040000000001</v>
      </c>
      <c r="N64" s="2">
        <v>51181.14</v>
      </c>
      <c r="O64" s="2">
        <v>0</v>
      </c>
      <c r="P64" s="2">
        <v>0</v>
      </c>
      <c r="Q64" s="2">
        <f>SUM(H64:P64)</f>
        <v>197309.62</v>
      </c>
      <c r="W64" s="2">
        <f>Q64+G64</f>
        <v>553196.43999999994</v>
      </c>
      <c r="X64" s="2"/>
      <c r="Y64" s="9"/>
    </row>
    <row r="65" spans="1:29" x14ac:dyDescent="0.2">
      <c r="A65" s="8" t="s">
        <v>42</v>
      </c>
      <c r="B65" s="2">
        <f t="shared" ref="B65:Q65" si="13">B62+B64-B14</f>
        <v>85236.959999999992</v>
      </c>
      <c r="C65" s="2">
        <f t="shared" si="13"/>
        <v>1610272.0799999998</v>
      </c>
      <c r="D65" s="2">
        <f t="shared" si="13"/>
        <v>1807174.2000000002</v>
      </c>
      <c r="E65" s="2">
        <f t="shared" si="13"/>
        <v>1010478.5100000001</v>
      </c>
      <c r="F65" s="2">
        <f t="shared" si="13"/>
        <v>1305415.9799999997</v>
      </c>
      <c r="G65" s="2">
        <f t="shared" si="13"/>
        <v>5818577.7299999995</v>
      </c>
      <c r="H65" s="2">
        <f t="shared" si="13"/>
        <v>963511.3600000001</v>
      </c>
      <c r="I65" s="2">
        <f t="shared" si="13"/>
        <v>607431.26000000013</v>
      </c>
      <c r="J65" s="2">
        <f t="shared" si="13"/>
        <v>957725.05</v>
      </c>
      <c r="K65" s="2">
        <f t="shared" si="13"/>
        <v>920919.40999999992</v>
      </c>
      <c r="L65" s="2">
        <f t="shared" si="13"/>
        <v>117680.83000000002</v>
      </c>
      <c r="M65" s="2">
        <f t="shared" si="13"/>
        <v>435870.15</v>
      </c>
      <c r="N65" s="2">
        <f t="shared" si="13"/>
        <v>611968.33000000007</v>
      </c>
      <c r="O65" s="2">
        <f t="shared" si="13"/>
        <v>134626.17000000004</v>
      </c>
      <c r="P65" s="2">
        <f t="shared" si="13"/>
        <v>271736.37000000005</v>
      </c>
      <c r="Q65" s="2">
        <f t="shared" si="13"/>
        <v>5021468.93</v>
      </c>
      <c r="W65" s="2">
        <f>W62+W64-W14</f>
        <v>10840046.659999998</v>
      </c>
      <c r="X65" s="2">
        <f>W64+X62</f>
        <v>165138930.39999998</v>
      </c>
      <c r="AA65" s="2">
        <f>G64+AA62</f>
        <v>4343193.57</v>
      </c>
      <c r="AB65" s="2">
        <f>Q64+AB62</f>
        <v>4028243.31</v>
      </c>
      <c r="AC65" s="2">
        <f>AA65+AB65</f>
        <v>8371436.8800000008</v>
      </c>
    </row>
    <row r="66" spans="1:29" x14ac:dyDescent="0.2"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W66" s="9"/>
      <c r="X66" s="9"/>
    </row>
    <row r="67" spans="1:29" x14ac:dyDescent="0.2">
      <c r="A67" s="8" t="s">
        <v>44</v>
      </c>
      <c r="B67" s="2">
        <v>0</v>
      </c>
      <c r="C67" s="2">
        <v>153946.62</v>
      </c>
      <c r="D67" s="2">
        <v>71859.240000000005</v>
      </c>
      <c r="E67" s="2">
        <v>7474.41</v>
      </c>
      <c r="F67" s="2">
        <v>72383.759999999995</v>
      </c>
      <c r="G67" s="2">
        <f>SUM(B67:F67)</f>
        <v>305664.02999999997</v>
      </c>
      <c r="H67" s="2">
        <v>0</v>
      </c>
      <c r="I67" s="2">
        <v>0</v>
      </c>
      <c r="J67" s="2">
        <v>45164.66</v>
      </c>
      <c r="K67" s="2">
        <v>40531.26</v>
      </c>
      <c r="L67" s="2">
        <v>0</v>
      </c>
      <c r="M67" s="2">
        <v>24995.73</v>
      </c>
      <c r="N67" s="2">
        <v>44124.13</v>
      </c>
      <c r="O67" s="2">
        <v>65641.7</v>
      </c>
      <c r="P67" s="2">
        <v>0</v>
      </c>
      <c r="Q67" s="2">
        <f>SUM(H67:P67)</f>
        <v>220457.47999999998</v>
      </c>
      <c r="W67" s="2">
        <f>Q67+G67</f>
        <v>526121.51</v>
      </c>
      <c r="X67" s="2"/>
      <c r="Y67" s="9"/>
    </row>
    <row r="68" spans="1:29" x14ac:dyDescent="0.2">
      <c r="A68" s="8" t="s">
        <v>42</v>
      </c>
      <c r="B68" s="2">
        <f t="shared" ref="B68:Q68" si="14">B65+B67-B17</f>
        <v>85236.959999999992</v>
      </c>
      <c r="C68" s="2">
        <f t="shared" si="14"/>
        <v>1616782.1399999997</v>
      </c>
      <c r="D68" s="2">
        <f t="shared" si="14"/>
        <v>1875468.4800000002</v>
      </c>
      <c r="E68" s="2">
        <f t="shared" si="14"/>
        <v>1017952.9200000002</v>
      </c>
      <c r="F68" s="2">
        <f t="shared" si="14"/>
        <v>1312866.5399999998</v>
      </c>
      <c r="G68" s="2">
        <f t="shared" si="14"/>
        <v>5908307.04</v>
      </c>
      <c r="H68" s="2">
        <f t="shared" si="14"/>
        <v>963511.3600000001</v>
      </c>
      <c r="I68" s="2">
        <f t="shared" si="14"/>
        <v>607431.26000000013</v>
      </c>
      <c r="J68" s="2">
        <f t="shared" si="14"/>
        <v>932781.02</v>
      </c>
      <c r="K68" s="2">
        <f t="shared" si="14"/>
        <v>893239.34999999986</v>
      </c>
      <c r="L68" s="2">
        <f t="shared" si="14"/>
        <v>117680.83000000002</v>
      </c>
      <c r="M68" s="2">
        <f t="shared" si="14"/>
        <v>449918.4</v>
      </c>
      <c r="N68" s="2">
        <f t="shared" si="14"/>
        <v>624011.37000000011</v>
      </c>
      <c r="O68" s="2">
        <f t="shared" si="14"/>
        <v>199198.11000000004</v>
      </c>
      <c r="P68" s="2">
        <f t="shared" si="14"/>
        <v>271736.37000000005</v>
      </c>
      <c r="Q68" s="2">
        <f t="shared" si="14"/>
        <v>5059508.07</v>
      </c>
      <c r="W68" s="2">
        <f>W65+W67-W17</f>
        <v>10967815.109999998</v>
      </c>
      <c r="X68" s="2">
        <f>W67+X65</f>
        <v>165665051.90999997</v>
      </c>
    </row>
    <row r="69" spans="1:29" x14ac:dyDescent="0.2">
      <c r="X69" s="9"/>
    </row>
    <row r="70" spans="1:29" x14ac:dyDescent="0.2">
      <c r="A70" s="8" t="s">
        <v>45</v>
      </c>
      <c r="B70" s="2">
        <v>15315.98</v>
      </c>
      <c r="C70" s="2">
        <v>138735.54</v>
      </c>
      <c r="D70" s="2">
        <v>200366.64</v>
      </c>
      <c r="E70" s="2">
        <v>106215.3</v>
      </c>
      <c r="F70" s="2">
        <v>100445.58</v>
      </c>
      <c r="G70" s="2">
        <f>SUM(B70:F70)</f>
        <v>561079.04000000004</v>
      </c>
      <c r="H70" s="2">
        <v>96750.13</v>
      </c>
      <c r="I70" s="2">
        <v>62473.72</v>
      </c>
      <c r="J70" s="2">
        <v>58454.85</v>
      </c>
      <c r="K70" s="2">
        <v>48921.97</v>
      </c>
      <c r="L70" s="2">
        <v>0</v>
      </c>
      <c r="M70" s="2">
        <v>31468.28</v>
      </c>
      <c r="N70" s="2">
        <v>40409.910000000003</v>
      </c>
      <c r="O70" s="2">
        <v>122528.66</v>
      </c>
      <c r="P70" s="2">
        <v>8581.1200000000008</v>
      </c>
      <c r="Q70" s="2">
        <f>SUM(H70:P70)</f>
        <v>469588.64000000013</v>
      </c>
      <c r="W70" s="2">
        <f>Q70+G70</f>
        <v>1030667.6800000002</v>
      </c>
      <c r="X70" s="2"/>
      <c r="Y70" s="9"/>
    </row>
    <row r="71" spans="1:29" x14ac:dyDescent="0.2">
      <c r="A71" s="8" t="s">
        <v>42</v>
      </c>
      <c r="B71" s="2">
        <f t="shared" ref="B71:Q71" si="15">B68+B70-B20</f>
        <v>100552.93999999999</v>
      </c>
      <c r="C71" s="2">
        <f t="shared" si="15"/>
        <v>1616484.2399999998</v>
      </c>
      <c r="D71" s="2">
        <f t="shared" si="15"/>
        <v>2053426.8</v>
      </c>
      <c r="E71" s="2">
        <f t="shared" si="15"/>
        <v>1103924.3400000003</v>
      </c>
      <c r="F71" s="2">
        <f t="shared" si="15"/>
        <v>1342522.2</v>
      </c>
      <c r="G71" s="2">
        <f t="shared" si="15"/>
        <v>6216910.5200000005</v>
      </c>
      <c r="H71" s="2">
        <f t="shared" si="15"/>
        <v>1060261.4900000002</v>
      </c>
      <c r="I71" s="2">
        <f t="shared" si="15"/>
        <v>669904.9800000001</v>
      </c>
      <c r="J71" s="2">
        <f t="shared" si="15"/>
        <v>926082.01</v>
      </c>
      <c r="K71" s="2">
        <f t="shared" si="15"/>
        <v>881062.13999999978</v>
      </c>
      <c r="L71" s="2">
        <f t="shared" si="15"/>
        <v>117680.83000000002</v>
      </c>
      <c r="M71" s="2">
        <f t="shared" si="15"/>
        <v>461195.64000000007</v>
      </c>
      <c r="N71" s="2">
        <f t="shared" si="15"/>
        <v>614295.50000000012</v>
      </c>
      <c r="O71" s="2">
        <f t="shared" si="15"/>
        <v>321726.77</v>
      </c>
      <c r="P71" s="2">
        <f t="shared" si="15"/>
        <v>280317.49000000005</v>
      </c>
      <c r="Q71" s="2">
        <f t="shared" si="15"/>
        <v>5332526.8500000006</v>
      </c>
      <c r="W71" s="2">
        <f>W68+W70-W20</f>
        <v>11549437.369999997</v>
      </c>
      <c r="X71" s="2">
        <f>W70+X68</f>
        <v>166695719.58999997</v>
      </c>
    </row>
    <row r="72" spans="1:29" x14ac:dyDescent="0.2"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W72" s="9"/>
      <c r="X72" s="9"/>
    </row>
    <row r="73" spans="1:29" x14ac:dyDescent="0.2">
      <c r="A73" s="8" t="s">
        <v>46</v>
      </c>
      <c r="B73" s="2">
        <v>18463.099999999999</v>
      </c>
      <c r="C73" s="2">
        <v>152110.79999999999</v>
      </c>
      <c r="D73" s="2">
        <v>172042.56</v>
      </c>
      <c r="E73" s="2">
        <v>285207.75</v>
      </c>
      <c r="F73" s="2">
        <v>108837.9</v>
      </c>
      <c r="G73" s="2">
        <f>SUM(B73:F73)</f>
        <v>736662.11</v>
      </c>
      <c r="H73" s="2">
        <v>102768.58</v>
      </c>
      <c r="I73" s="2">
        <v>67205.75</v>
      </c>
      <c r="J73" s="2">
        <v>68512.39</v>
      </c>
      <c r="K73" s="2">
        <v>65566.92</v>
      </c>
      <c r="L73" s="2">
        <v>78385.52</v>
      </c>
      <c r="M73" s="2">
        <v>34222.660000000003</v>
      </c>
      <c r="N73" s="2">
        <v>39604.959999999999</v>
      </c>
      <c r="O73" s="2">
        <v>124995.02</v>
      </c>
      <c r="P73" s="2">
        <v>0</v>
      </c>
      <c r="Q73" s="2">
        <f>SUM(H73:P73)</f>
        <v>581261.80000000005</v>
      </c>
      <c r="W73" s="2">
        <f>Q73+G73</f>
        <v>1317923.9100000001</v>
      </c>
      <c r="X73" s="2"/>
      <c r="Y73" s="9"/>
    </row>
    <row r="74" spans="1:29" x14ac:dyDescent="0.2">
      <c r="A74" s="8" t="s">
        <v>42</v>
      </c>
      <c r="B74" s="2">
        <f t="shared" ref="B74:Q74" si="16">B71+B73-B23</f>
        <v>119016.03999999998</v>
      </c>
      <c r="C74" s="2">
        <f t="shared" si="16"/>
        <v>1622177.0399999998</v>
      </c>
      <c r="D74" s="2">
        <f t="shared" si="16"/>
        <v>2119029.84</v>
      </c>
      <c r="E74" s="2">
        <f t="shared" si="16"/>
        <v>1325344.7700000003</v>
      </c>
      <c r="F74" s="2">
        <f t="shared" si="16"/>
        <v>1326077.2199999997</v>
      </c>
      <c r="G74" s="2">
        <f t="shared" si="16"/>
        <v>6511644.9100000011</v>
      </c>
      <c r="H74" s="2">
        <f t="shared" si="16"/>
        <v>1163030.0700000003</v>
      </c>
      <c r="I74" s="2">
        <f t="shared" si="16"/>
        <v>737110.7300000001</v>
      </c>
      <c r="J74" s="2">
        <f t="shared" si="16"/>
        <v>918908.79</v>
      </c>
      <c r="K74" s="2">
        <f t="shared" si="16"/>
        <v>873460.76999999979</v>
      </c>
      <c r="L74" s="2">
        <f t="shared" si="16"/>
        <v>196066.35000000003</v>
      </c>
      <c r="M74" s="2">
        <f t="shared" si="16"/>
        <v>463578.50000000006</v>
      </c>
      <c r="N74" s="2">
        <f t="shared" si="16"/>
        <v>594895.17000000004</v>
      </c>
      <c r="O74" s="2">
        <f t="shared" si="16"/>
        <v>446721.79000000004</v>
      </c>
      <c r="P74" s="2">
        <f t="shared" si="16"/>
        <v>280317.49000000005</v>
      </c>
      <c r="Q74" s="2">
        <f t="shared" si="16"/>
        <v>5674089.6600000001</v>
      </c>
      <c r="W74" s="2">
        <f>W71+W73-W23</f>
        <v>12185734.569999997</v>
      </c>
      <c r="X74" s="2">
        <f>W73+X71</f>
        <v>168013643.49999997</v>
      </c>
    </row>
    <row r="75" spans="1:29" x14ac:dyDescent="0.2"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W75" s="9"/>
      <c r="X75" s="9"/>
    </row>
    <row r="76" spans="1:29" x14ac:dyDescent="0.2">
      <c r="A76" s="8" t="s">
        <v>47</v>
      </c>
      <c r="B76" s="2">
        <v>30631.97</v>
      </c>
      <c r="C76" s="2">
        <v>148701.42000000001</v>
      </c>
      <c r="D76" s="2">
        <v>258063.84</v>
      </c>
      <c r="E76" s="2">
        <v>263177.90999999997</v>
      </c>
      <c r="F76" s="2">
        <v>100183.32</v>
      </c>
      <c r="G76" s="2">
        <f>SUM(B76:F76)</f>
        <v>800758.46</v>
      </c>
      <c r="H76" s="2">
        <v>237897.72</v>
      </c>
      <c r="I76" s="2">
        <v>148137.1</v>
      </c>
      <c r="J76" s="2">
        <v>103341.18</v>
      </c>
      <c r="K76" s="2">
        <v>100698.6</v>
      </c>
      <c r="L76" s="2">
        <v>67810.960000000006</v>
      </c>
      <c r="M76" s="2">
        <v>57941.25</v>
      </c>
      <c r="N76" s="2">
        <v>63067.71</v>
      </c>
      <c r="O76" s="2">
        <v>177000.69</v>
      </c>
      <c r="P76" s="2">
        <v>0</v>
      </c>
      <c r="Q76" s="2">
        <f>SUM(H76:P76)</f>
        <v>955895.21</v>
      </c>
      <c r="W76" s="2">
        <f>Q76+G76</f>
        <v>1756653.67</v>
      </c>
      <c r="X76" s="2"/>
      <c r="Y76" s="9"/>
    </row>
    <row r="77" spans="1:29" x14ac:dyDescent="0.2">
      <c r="A77" s="8" t="s">
        <v>42</v>
      </c>
      <c r="B77" s="2">
        <f t="shared" ref="B77:Q77" si="17">B74+B76-B26</f>
        <v>149648.00999999998</v>
      </c>
      <c r="C77" s="2">
        <f t="shared" si="17"/>
        <v>1625479.0199999998</v>
      </c>
      <c r="D77" s="2">
        <f t="shared" si="17"/>
        <v>2300192.4</v>
      </c>
      <c r="E77" s="2">
        <f t="shared" si="17"/>
        <v>1376916.84</v>
      </c>
      <c r="F77" s="2">
        <f t="shared" si="17"/>
        <v>1295120.9399999997</v>
      </c>
      <c r="G77" s="2">
        <f t="shared" si="17"/>
        <v>6747357.2100000009</v>
      </c>
      <c r="H77" s="2">
        <f t="shared" si="17"/>
        <v>1400927.7900000003</v>
      </c>
      <c r="I77" s="2">
        <f t="shared" si="17"/>
        <v>885247.83000000007</v>
      </c>
      <c r="J77" s="2">
        <f t="shared" si="17"/>
        <v>909372.85</v>
      </c>
      <c r="K77" s="2">
        <f t="shared" si="17"/>
        <v>866413.09999999974</v>
      </c>
      <c r="L77" s="2">
        <f t="shared" si="17"/>
        <v>263877.31000000006</v>
      </c>
      <c r="M77" s="2">
        <f t="shared" si="17"/>
        <v>470793.82000000007</v>
      </c>
      <c r="N77" s="2">
        <f t="shared" si="17"/>
        <v>568096.30000000005</v>
      </c>
      <c r="O77" s="2">
        <f t="shared" si="17"/>
        <v>610399.94999999995</v>
      </c>
      <c r="P77" s="2">
        <f t="shared" si="17"/>
        <v>280317.49000000005</v>
      </c>
      <c r="Q77" s="2">
        <f t="shared" si="17"/>
        <v>6255446.4400000004</v>
      </c>
      <c r="W77" s="2">
        <f>W74+W76-W26</f>
        <v>13002803.649999997</v>
      </c>
      <c r="X77" s="2">
        <f>W76+X74</f>
        <v>169770297.16999996</v>
      </c>
    </row>
    <row r="78" spans="1:29" x14ac:dyDescent="0.2">
      <c r="X78" s="9"/>
    </row>
    <row r="79" spans="1:29" x14ac:dyDescent="0.2">
      <c r="A79" s="8" t="s">
        <v>48</v>
      </c>
      <c r="B79" s="2">
        <v>8392.32</v>
      </c>
      <c r="C79" s="2">
        <v>156044.70000000001</v>
      </c>
      <c r="D79" s="2">
        <v>230264.28</v>
      </c>
      <c r="E79" s="2">
        <v>240754.68</v>
      </c>
      <c r="F79" s="2">
        <v>104379.48</v>
      </c>
      <c r="G79" s="2">
        <f>SUM(B79:F79)</f>
        <v>739835.46</v>
      </c>
      <c r="H79" s="2">
        <v>153267.4</v>
      </c>
      <c r="I79" s="2">
        <v>68246.97</v>
      </c>
      <c r="J79" s="2">
        <v>112289.67</v>
      </c>
      <c r="K79" s="2">
        <v>112263.51</v>
      </c>
      <c r="L79" s="2">
        <v>43871.45</v>
      </c>
      <c r="M79" s="2">
        <v>64821.72</v>
      </c>
      <c r="N79" s="2">
        <v>81398.66</v>
      </c>
      <c r="O79" s="2">
        <v>190813.79</v>
      </c>
      <c r="P79" s="2">
        <v>64790.62</v>
      </c>
      <c r="Q79" s="2">
        <f>SUM(H79:P79)</f>
        <v>891763.79</v>
      </c>
      <c r="W79" s="2">
        <f>Q79+G79</f>
        <v>1631599.25</v>
      </c>
      <c r="X79" s="2"/>
      <c r="Y79" s="9"/>
    </row>
    <row r="80" spans="1:29" x14ac:dyDescent="0.2">
      <c r="A80" s="8" t="s">
        <v>42</v>
      </c>
      <c r="B80" s="2">
        <f t="shared" ref="B80:Q80" si="18">B77+B79-B29</f>
        <v>158040.32999999999</v>
      </c>
      <c r="C80" s="2">
        <f t="shared" si="18"/>
        <v>1671773.8799999997</v>
      </c>
      <c r="D80" s="2">
        <f t="shared" si="18"/>
        <v>2341513.7999999998</v>
      </c>
      <c r="E80" s="2">
        <f t="shared" si="18"/>
        <v>1428601.32</v>
      </c>
      <c r="F80" s="2">
        <f t="shared" si="18"/>
        <v>1260466.9799999997</v>
      </c>
      <c r="G80" s="2">
        <f t="shared" si="18"/>
        <v>6860396.3100000005</v>
      </c>
      <c r="H80" s="2">
        <f t="shared" si="18"/>
        <v>1554195.1900000002</v>
      </c>
      <c r="I80" s="2">
        <f t="shared" si="18"/>
        <v>953494.8</v>
      </c>
      <c r="J80" s="2">
        <f t="shared" si="18"/>
        <v>903958.69000000006</v>
      </c>
      <c r="K80" s="2">
        <f t="shared" si="18"/>
        <v>871469.57999999973</v>
      </c>
      <c r="L80" s="2">
        <f t="shared" si="18"/>
        <v>292396.0400000001</v>
      </c>
      <c r="M80" s="2">
        <f t="shared" si="18"/>
        <v>478703.48000000004</v>
      </c>
      <c r="N80" s="2">
        <f t="shared" si="18"/>
        <v>559311.50000000012</v>
      </c>
      <c r="O80" s="2">
        <f t="shared" si="18"/>
        <v>798536.48</v>
      </c>
      <c r="P80" s="2">
        <f t="shared" si="18"/>
        <v>345108.11000000004</v>
      </c>
      <c r="Q80" s="2">
        <f t="shared" si="18"/>
        <v>6757173.8700000001</v>
      </c>
      <c r="W80" s="2">
        <f>W77+W79-W29</f>
        <v>13617570.179999996</v>
      </c>
      <c r="X80" s="2">
        <f>W79+X77</f>
        <v>171401896.41999996</v>
      </c>
    </row>
    <row r="81" spans="1:25" x14ac:dyDescent="0.2"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W81" s="9"/>
      <c r="X81" s="9"/>
    </row>
    <row r="82" spans="1:25" x14ac:dyDescent="0.2">
      <c r="A82" s="8" t="s">
        <v>49</v>
      </c>
      <c r="B82" s="2">
        <v>0</v>
      </c>
      <c r="C82" s="2">
        <v>147914.64000000001</v>
      </c>
      <c r="D82" s="2">
        <v>261210.96</v>
      </c>
      <c r="E82" s="2">
        <v>297402.84000000003</v>
      </c>
      <c r="F82" s="2">
        <v>36978.660000000003</v>
      </c>
      <c r="G82" s="2">
        <f>SUM(B82:F82)</f>
        <v>743507.1</v>
      </c>
      <c r="H82" s="2">
        <v>126390</v>
      </c>
      <c r="I82" s="2">
        <v>0</v>
      </c>
      <c r="J82" s="2">
        <v>96893.99</v>
      </c>
      <c r="K82" s="2">
        <v>100729.65</v>
      </c>
      <c r="L82" s="2">
        <v>90967.84</v>
      </c>
      <c r="M82" s="2">
        <v>63080.36</v>
      </c>
      <c r="N82" s="2">
        <v>92894.74</v>
      </c>
      <c r="O82" s="2">
        <v>157177.89000000001</v>
      </c>
      <c r="P82" s="2">
        <v>140579.32999999999</v>
      </c>
      <c r="Q82" s="2">
        <f>SUM(H82:P82)</f>
        <v>868713.79999999993</v>
      </c>
      <c r="W82" s="2">
        <f>Q82+G82</f>
        <v>1612220.9</v>
      </c>
      <c r="X82" s="2"/>
      <c r="Y82" s="9"/>
    </row>
    <row r="83" spans="1:25" x14ac:dyDescent="0.2">
      <c r="A83" s="8" t="s">
        <v>42</v>
      </c>
      <c r="B83" s="2">
        <f t="shared" ref="B83:Q83" si="19">B80+B82-B32</f>
        <v>158040.32999999999</v>
      </c>
      <c r="C83" s="2">
        <f t="shared" si="19"/>
        <v>1676071.5599999996</v>
      </c>
      <c r="D83" s="2">
        <f t="shared" si="19"/>
        <v>2361835.3199999998</v>
      </c>
      <c r="E83" s="2">
        <f t="shared" si="19"/>
        <v>1688572.08</v>
      </c>
      <c r="F83" s="2">
        <f t="shared" si="19"/>
        <v>1171908.1199999996</v>
      </c>
      <c r="G83" s="2">
        <f t="shared" si="19"/>
        <v>7056427.4100000001</v>
      </c>
      <c r="H83" s="2">
        <f t="shared" si="19"/>
        <v>1654678.85</v>
      </c>
      <c r="I83" s="2">
        <f t="shared" si="19"/>
        <v>953494.8</v>
      </c>
      <c r="J83" s="2">
        <f t="shared" si="19"/>
        <v>887599.44000000006</v>
      </c>
      <c r="K83" s="2">
        <f t="shared" si="19"/>
        <v>860734.58999999973</v>
      </c>
      <c r="L83" s="2">
        <f t="shared" si="19"/>
        <v>370286.96000000014</v>
      </c>
      <c r="M83" s="2">
        <f t="shared" si="19"/>
        <v>483423.77000000008</v>
      </c>
      <c r="N83" s="2">
        <f t="shared" si="19"/>
        <v>564121.72000000009</v>
      </c>
      <c r="O83" s="2">
        <f t="shared" si="19"/>
        <v>955714.37</v>
      </c>
      <c r="P83" s="2">
        <f t="shared" si="19"/>
        <v>485687.44000000006</v>
      </c>
      <c r="Q83" s="2">
        <f t="shared" si="19"/>
        <v>7215741.9399999995</v>
      </c>
      <c r="W83" s="2">
        <f>W80+W82-W32</f>
        <v>14272169.349999996</v>
      </c>
      <c r="X83" s="2">
        <f>W82+X80</f>
        <v>173014117.31999996</v>
      </c>
    </row>
    <row r="84" spans="1:25" x14ac:dyDescent="0.2">
      <c r="X84" s="9"/>
    </row>
    <row r="85" spans="1:25" x14ac:dyDescent="0.2">
      <c r="A85" s="8" t="s">
        <v>50</v>
      </c>
      <c r="B85" s="2">
        <v>4825.58</v>
      </c>
      <c r="C85" s="2">
        <v>142931.70000000001</v>
      </c>
      <c r="D85" s="2">
        <v>227117.16</v>
      </c>
      <c r="E85" s="2">
        <v>274586.21999999997</v>
      </c>
      <c r="F85" s="2">
        <v>113558.58</v>
      </c>
      <c r="G85" s="2">
        <f>SUM(B85:F85)</f>
        <v>763019.23999999987</v>
      </c>
      <c r="H85" s="2">
        <v>265209.08</v>
      </c>
      <c r="I85" s="2">
        <v>174630.25</v>
      </c>
      <c r="J85" s="2">
        <v>112902.72</v>
      </c>
      <c r="K85" s="2">
        <v>110212.71</v>
      </c>
      <c r="L85" s="2">
        <v>0</v>
      </c>
      <c r="M85" s="2">
        <v>62456.84</v>
      </c>
      <c r="N85" s="2">
        <v>76023.55</v>
      </c>
      <c r="O85" s="2">
        <v>77132.62</v>
      </c>
      <c r="P85" s="2">
        <v>40977.89</v>
      </c>
      <c r="Q85" s="2">
        <f>SUM(H85:P85)</f>
        <v>919545.66</v>
      </c>
      <c r="W85" s="2">
        <f>Q85+G85</f>
        <v>1682564.9</v>
      </c>
      <c r="X85" s="2"/>
      <c r="Y85" s="9"/>
    </row>
    <row r="86" spans="1:25" x14ac:dyDescent="0.2">
      <c r="A86" s="8" t="s">
        <v>42</v>
      </c>
      <c r="B86" s="2">
        <f t="shared" ref="B86:Q86" si="20">B83+B85-B35</f>
        <v>162865.90999999997</v>
      </c>
      <c r="C86" s="2">
        <f t="shared" si="20"/>
        <v>1693211.0999999996</v>
      </c>
      <c r="D86" s="2">
        <f t="shared" si="20"/>
        <v>2353155.84</v>
      </c>
      <c r="E86" s="2">
        <f t="shared" si="20"/>
        <v>1873397.7</v>
      </c>
      <c r="F86" s="2">
        <f t="shared" si="20"/>
        <v>1207037.5799999996</v>
      </c>
      <c r="G86" s="2">
        <f t="shared" si="20"/>
        <v>7289668.1300000008</v>
      </c>
      <c r="H86" s="2">
        <f t="shared" si="20"/>
        <v>1683282.83</v>
      </c>
      <c r="I86" s="2">
        <f t="shared" si="20"/>
        <v>985086.06</v>
      </c>
      <c r="J86" s="2">
        <f t="shared" si="20"/>
        <v>923066.95000000007</v>
      </c>
      <c r="K86" s="2">
        <f t="shared" si="20"/>
        <v>897055.12999999966</v>
      </c>
      <c r="L86" s="2">
        <f t="shared" si="20"/>
        <v>370286.96000000014</v>
      </c>
      <c r="M86" s="2">
        <f t="shared" si="20"/>
        <v>494605.41000000009</v>
      </c>
      <c r="N86" s="2">
        <f t="shared" si="20"/>
        <v>579744.31000000017</v>
      </c>
      <c r="O86" s="2">
        <f t="shared" si="20"/>
        <v>1028133.29</v>
      </c>
      <c r="P86" s="2">
        <f t="shared" si="20"/>
        <v>526665.33000000007</v>
      </c>
      <c r="Q86" s="2">
        <f t="shared" si="20"/>
        <v>7487926.2699999996</v>
      </c>
      <c r="W86" s="2">
        <f>W83+W85-W35</f>
        <v>14777594.399999997</v>
      </c>
      <c r="X86" s="2">
        <f>W85+X83</f>
        <v>174696682.21999997</v>
      </c>
    </row>
    <row r="87" spans="1:25" x14ac:dyDescent="0.2">
      <c r="X87" s="9"/>
    </row>
    <row r="88" spans="1:25" x14ac:dyDescent="0.2">
      <c r="A88" s="8" t="s">
        <v>51</v>
      </c>
      <c r="B88" s="2">
        <v>21190.61</v>
      </c>
      <c r="C88" s="2">
        <v>86283.54</v>
      </c>
      <c r="D88" s="2">
        <v>194072.4</v>
      </c>
      <c r="E88" s="2">
        <v>286781.31</v>
      </c>
      <c r="F88" s="2">
        <v>134014.85999999999</v>
      </c>
      <c r="G88" s="2">
        <f>SUM(B88:F88)</f>
        <v>722342.72</v>
      </c>
      <c r="H88" s="2">
        <v>124814.04</v>
      </c>
      <c r="I88" s="2">
        <v>87913.27</v>
      </c>
      <c r="J88" s="2">
        <v>71883.11</v>
      </c>
      <c r="K88" s="2">
        <v>77609.77</v>
      </c>
      <c r="L88" s="2">
        <v>0</v>
      </c>
      <c r="M88" s="2">
        <v>0</v>
      </c>
      <c r="N88" s="2">
        <v>43076.31</v>
      </c>
      <c r="O88" s="2">
        <v>66887.710000000006</v>
      </c>
      <c r="P88" s="2">
        <v>120931.15</v>
      </c>
      <c r="Q88" s="2">
        <f>SUM(H88:P88)</f>
        <v>593115.36</v>
      </c>
      <c r="W88" s="2">
        <f>Q88+G88</f>
        <v>1315458.08</v>
      </c>
      <c r="X88" s="2"/>
      <c r="Y88" s="9"/>
    </row>
    <row r="89" spans="1:25" x14ac:dyDescent="0.2">
      <c r="A89" s="8" t="s">
        <v>42</v>
      </c>
      <c r="B89" s="2">
        <f t="shared" ref="B89:Q89" si="21">B86+B88-B38</f>
        <v>154518.27999999997</v>
      </c>
      <c r="C89" s="2">
        <f t="shared" si="21"/>
        <v>1656248.8799999997</v>
      </c>
      <c r="D89" s="2">
        <f t="shared" si="21"/>
        <v>2336895.5999999996</v>
      </c>
      <c r="E89" s="2">
        <f t="shared" si="21"/>
        <v>1969580.9699999997</v>
      </c>
      <c r="F89" s="2">
        <f t="shared" si="21"/>
        <v>1209912.8399999994</v>
      </c>
      <c r="G89" s="2">
        <f t="shared" si="21"/>
        <v>7327156.5700000003</v>
      </c>
      <c r="H89" s="2">
        <f t="shared" si="21"/>
        <v>1556901.9000000001</v>
      </c>
      <c r="I89" s="2">
        <f t="shared" si="21"/>
        <v>906516.82000000007</v>
      </c>
      <c r="J89" s="2">
        <f t="shared" si="21"/>
        <v>930621.06</v>
      </c>
      <c r="K89" s="2">
        <f t="shared" si="21"/>
        <v>909281.40999999968</v>
      </c>
      <c r="L89" s="2">
        <f t="shared" si="21"/>
        <v>315509.00000000012</v>
      </c>
      <c r="M89" s="2">
        <f t="shared" si="21"/>
        <v>456439.63000000012</v>
      </c>
      <c r="N89" s="2">
        <f t="shared" si="21"/>
        <v>582897.64000000013</v>
      </c>
      <c r="O89" s="2">
        <f t="shared" si="21"/>
        <v>990403.34</v>
      </c>
      <c r="P89" s="2">
        <f t="shared" si="21"/>
        <v>547104.31000000006</v>
      </c>
      <c r="Q89" s="2">
        <f t="shared" si="21"/>
        <v>7195675.1099999994</v>
      </c>
      <c r="W89" s="2">
        <f>W86+W88-W38</f>
        <v>14522831.679999996</v>
      </c>
      <c r="X89" s="2">
        <f>W88+X86</f>
        <v>176012140.29999998</v>
      </c>
    </row>
    <row r="90" spans="1:25" x14ac:dyDescent="0.2"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W90" s="9"/>
      <c r="X90" s="9"/>
    </row>
    <row r="91" spans="1:25" x14ac:dyDescent="0.2">
      <c r="A91" s="8" t="s">
        <v>52</v>
      </c>
      <c r="B91" s="2">
        <v>0</v>
      </c>
      <c r="C91" s="2">
        <v>112509.54</v>
      </c>
      <c r="D91" s="2">
        <v>196170.48</v>
      </c>
      <c r="E91" s="2">
        <v>76317.66</v>
      </c>
      <c r="F91" s="2">
        <v>65565</v>
      </c>
      <c r="G91" s="2">
        <f>SUM(B91:F91)</f>
        <v>450562.68000000005</v>
      </c>
      <c r="H91" s="2">
        <v>92762.12</v>
      </c>
      <c r="I91" s="2">
        <v>28672.54</v>
      </c>
      <c r="J91" s="2">
        <v>43217.96</v>
      </c>
      <c r="K91" s="2">
        <v>46344.45</v>
      </c>
      <c r="L91" s="2">
        <v>0</v>
      </c>
      <c r="M91" s="2">
        <v>38645.410000000003</v>
      </c>
      <c r="N91" s="2">
        <v>59589.45</v>
      </c>
      <c r="O91" s="2">
        <v>63334.41</v>
      </c>
      <c r="P91" s="2">
        <v>19179.02</v>
      </c>
      <c r="Q91" s="2">
        <f>SUM(H91:P91)</f>
        <v>391745.36</v>
      </c>
      <c r="W91" s="2">
        <f>Q91+G91</f>
        <v>842308.04</v>
      </c>
      <c r="X91" s="2"/>
      <c r="Y91" s="9"/>
    </row>
    <row r="92" spans="1:25" x14ac:dyDescent="0.2">
      <c r="A92" s="8" t="s">
        <v>42</v>
      </c>
      <c r="B92" s="2">
        <f t="shared" ref="B92:Q92" si="22">B89+B91-B41</f>
        <v>123757.76999999997</v>
      </c>
      <c r="C92" s="2">
        <f t="shared" si="22"/>
        <v>1646276.5799999996</v>
      </c>
      <c r="D92" s="2">
        <f t="shared" si="22"/>
        <v>2337502.5599999996</v>
      </c>
      <c r="E92" s="2">
        <f t="shared" si="22"/>
        <v>1927491.0299999996</v>
      </c>
      <c r="F92" s="2">
        <f t="shared" si="22"/>
        <v>1153759.9199999995</v>
      </c>
      <c r="G92" s="2">
        <f t="shared" si="22"/>
        <v>7188787.8600000003</v>
      </c>
      <c r="H92" s="2">
        <f t="shared" si="22"/>
        <v>1440525.01</v>
      </c>
      <c r="I92" s="2">
        <f t="shared" si="22"/>
        <v>796168.91000000015</v>
      </c>
      <c r="J92" s="2">
        <f t="shared" si="22"/>
        <v>911730.76</v>
      </c>
      <c r="K92" s="2">
        <f t="shared" si="22"/>
        <v>893992.41999999969</v>
      </c>
      <c r="L92" s="2">
        <f t="shared" si="22"/>
        <v>281035.77000000014</v>
      </c>
      <c r="M92" s="2">
        <f t="shared" si="22"/>
        <v>459412.34000000014</v>
      </c>
      <c r="N92" s="2">
        <f t="shared" si="22"/>
        <v>642487.09000000008</v>
      </c>
      <c r="O92" s="2">
        <f t="shared" si="22"/>
        <v>1045512.49</v>
      </c>
      <c r="P92" s="2">
        <f t="shared" si="22"/>
        <v>485009.37000000005</v>
      </c>
      <c r="Q92" s="2">
        <f t="shared" si="22"/>
        <v>6955874.1600000001</v>
      </c>
      <c r="W92" s="2">
        <f>W89+W91-W41</f>
        <v>14144662.019999996</v>
      </c>
      <c r="X92" s="2">
        <f>W91+X89</f>
        <v>176854448.33999997</v>
      </c>
    </row>
    <row r="93" spans="1:25" x14ac:dyDescent="0.2">
      <c r="X93" s="9"/>
    </row>
    <row r="94" spans="1:25" x14ac:dyDescent="0.2">
      <c r="A94" s="8" t="s">
        <v>53</v>
      </c>
      <c r="B94" s="2">
        <v>0</v>
      </c>
      <c r="C94" s="2">
        <v>101494.62</v>
      </c>
      <c r="D94" s="2">
        <v>168895.44</v>
      </c>
      <c r="E94" s="2">
        <v>138473.28</v>
      </c>
      <c r="F94" s="2">
        <v>100970.1</v>
      </c>
      <c r="G94" s="2">
        <f>SUM(B94:F94)</f>
        <v>509833.43999999994</v>
      </c>
      <c r="H94" s="2">
        <v>46837.279999999999</v>
      </c>
      <c r="I94" s="2">
        <v>24948.880000000001</v>
      </c>
      <c r="J94" s="2">
        <v>57065.04</v>
      </c>
      <c r="K94" s="2">
        <v>57242.27</v>
      </c>
      <c r="L94" s="2">
        <v>11427.75</v>
      </c>
      <c r="M94" s="2">
        <v>34741.71</v>
      </c>
      <c r="N94" s="2">
        <v>41464.31</v>
      </c>
      <c r="O94" s="2">
        <v>93855.76</v>
      </c>
      <c r="P94" s="2">
        <v>75400.210000000006</v>
      </c>
      <c r="Q94" s="2">
        <f>SUM(H94:P94)</f>
        <v>442983.21</v>
      </c>
      <c r="W94" s="2">
        <f>Q94+G94</f>
        <v>952816.64999999991</v>
      </c>
      <c r="X94" s="2"/>
    </row>
    <row r="95" spans="1:25" x14ac:dyDescent="0.2">
      <c r="A95" s="8" t="s">
        <v>42</v>
      </c>
      <c r="B95" s="2">
        <f t="shared" ref="B95:Q95" si="23">B92+B94-B44</f>
        <v>101756.86999999997</v>
      </c>
      <c r="C95" s="2">
        <f t="shared" si="23"/>
        <v>1618668.7199999997</v>
      </c>
      <c r="D95" s="2">
        <f t="shared" si="23"/>
        <v>2269073.5199999996</v>
      </c>
      <c r="E95" s="2">
        <f t="shared" si="23"/>
        <v>1983078.9899999995</v>
      </c>
      <c r="F95" s="2">
        <f t="shared" si="23"/>
        <v>1125882.1799999995</v>
      </c>
      <c r="G95" s="2">
        <f t="shared" si="23"/>
        <v>7098460.2800000012</v>
      </c>
      <c r="H95" s="2">
        <f t="shared" si="23"/>
        <v>1281907.72</v>
      </c>
      <c r="I95" s="2">
        <f t="shared" si="23"/>
        <v>685185.14000000013</v>
      </c>
      <c r="J95" s="2">
        <f t="shared" si="23"/>
        <v>900825.01</v>
      </c>
      <c r="K95" s="2">
        <f t="shared" si="23"/>
        <v>884820.00999999978</v>
      </c>
      <c r="L95" s="2">
        <f t="shared" si="23"/>
        <v>292463.52000000014</v>
      </c>
      <c r="M95" s="2">
        <f t="shared" si="23"/>
        <v>465383.52000000014</v>
      </c>
      <c r="N95" s="2">
        <f t="shared" si="23"/>
        <v>683951.40000000014</v>
      </c>
      <c r="O95" s="2">
        <f t="shared" si="23"/>
        <v>1139368.25</v>
      </c>
      <c r="P95" s="2">
        <f t="shared" si="23"/>
        <v>470439.34000000008</v>
      </c>
      <c r="Q95" s="2">
        <f t="shared" si="23"/>
        <v>6804343.9100000001</v>
      </c>
      <c r="W95" s="2">
        <f>W92+W94-W44</f>
        <v>13902804.189999996</v>
      </c>
      <c r="X95" s="2">
        <f>W94+X92</f>
        <v>177807264.98999998</v>
      </c>
    </row>
    <row r="96" spans="1:25" x14ac:dyDescent="0.2">
      <c r="W96" s="9"/>
      <c r="X96" s="9"/>
    </row>
    <row r="97" spans="1:25" x14ac:dyDescent="0.2">
      <c r="W97" s="9"/>
      <c r="X97" s="9"/>
    </row>
    <row r="98" spans="1:25" x14ac:dyDescent="0.2">
      <c r="X98" s="9"/>
    </row>
    <row r="99" spans="1:25" x14ac:dyDescent="0.2">
      <c r="X99" s="9"/>
    </row>
    <row r="100" spans="1:25" x14ac:dyDescent="0.2">
      <c r="A100" s="3" t="s">
        <v>54</v>
      </c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W100" s="2"/>
      <c r="X100" s="2"/>
    </row>
    <row r="101" spans="1:25" x14ac:dyDescent="0.2"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W101" s="2"/>
      <c r="X101" s="2"/>
    </row>
    <row r="102" spans="1:25" x14ac:dyDescent="0.2">
      <c r="B102" s="2"/>
      <c r="C102" s="2"/>
      <c r="D102" s="3" t="s">
        <v>58</v>
      </c>
      <c r="E102" s="2"/>
      <c r="F102" s="2"/>
      <c r="G102" s="2"/>
      <c r="H102" s="2"/>
      <c r="I102" s="2"/>
      <c r="J102" s="2"/>
      <c r="K102" s="4">
        <f ca="1">NOW()</f>
        <v>42312.648458217591</v>
      </c>
      <c r="L102" s="5">
        <f ca="1">NOW()</f>
        <v>42312.648458217591</v>
      </c>
      <c r="M102" s="2"/>
      <c r="N102" s="6" t="s">
        <v>1</v>
      </c>
      <c r="O102" s="2"/>
      <c r="P102" s="2"/>
      <c r="Q102" s="2"/>
      <c r="W102" s="2"/>
      <c r="X102" s="2"/>
    </row>
    <row r="103" spans="1:25" x14ac:dyDescent="0.2">
      <c r="B103" s="2"/>
      <c r="C103" s="2"/>
      <c r="D103" s="6" t="s">
        <v>2</v>
      </c>
      <c r="E103" s="2"/>
      <c r="F103" s="6" t="s">
        <v>2</v>
      </c>
      <c r="G103" s="2"/>
      <c r="H103" s="6" t="s">
        <v>3</v>
      </c>
      <c r="I103" s="6" t="s">
        <v>4</v>
      </c>
      <c r="J103" s="2"/>
      <c r="K103" s="2"/>
      <c r="L103" s="2"/>
      <c r="M103" s="2"/>
      <c r="N103" s="6" t="s">
        <v>5</v>
      </c>
      <c r="O103" s="2"/>
      <c r="P103" s="2"/>
      <c r="Q103" s="2"/>
      <c r="W103" s="2"/>
      <c r="X103" s="2"/>
    </row>
    <row r="104" spans="1:25" x14ac:dyDescent="0.2">
      <c r="B104" s="2"/>
      <c r="C104" s="2"/>
      <c r="D104" s="2"/>
      <c r="E104" s="2"/>
      <c r="F104" s="3" t="s">
        <v>6</v>
      </c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W104" s="2"/>
      <c r="X104" s="2"/>
    </row>
    <row r="105" spans="1:25" x14ac:dyDescent="0.2"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W105" s="2"/>
      <c r="X105" s="7" t="s">
        <v>7</v>
      </c>
    </row>
    <row r="106" spans="1:25" x14ac:dyDescent="0.2">
      <c r="B106" s="3" t="s">
        <v>8</v>
      </c>
      <c r="H106" s="3" t="s">
        <v>9</v>
      </c>
      <c r="Q106" s="2"/>
      <c r="W106" s="2"/>
      <c r="X106" s="7" t="s">
        <v>10</v>
      </c>
    </row>
    <row r="107" spans="1:25" x14ac:dyDescent="0.2">
      <c r="B107" s="7" t="s">
        <v>11</v>
      </c>
      <c r="C107" s="7" t="s">
        <v>12</v>
      </c>
      <c r="D107" s="7" t="s">
        <v>13</v>
      </c>
      <c r="E107" s="7" t="s">
        <v>14</v>
      </c>
      <c r="F107" s="7" t="s">
        <v>15</v>
      </c>
      <c r="G107" s="7" t="s">
        <v>16</v>
      </c>
      <c r="H107" s="7" t="s">
        <v>17</v>
      </c>
      <c r="I107" s="2"/>
      <c r="J107" s="2"/>
      <c r="K107" s="2"/>
      <c r="L107" s="2"/>
      <c r="M107" s="7" t="s">
        <v>18</v>
      </c>
      <c r="N107" s="7" t="s">
        <v>19</v>
      </c>
      <c r="O107" s="7" t="s">
        <v>20</v>
      </c>
      <c r="P107" s="7" t="s">
        <v>21</v>
      </c>
      <c r="Q107" s="7" t="s">
        <v>16</v>
      </c>
      <c r="W107" s="7" t="s">
        <v>7</v>
      </c>
      <c r="X107" s="7" t="s">
        <v>22</v>
      </c>
    </row>
    <row r="108" spans="1:25" x14ac:dyDescent="0.2">
      <c r="B108" s="7" t="s">
        <v>23</v>
      </c>
      <c r="C108" s="7" t="s">
        <v>24</v>
      </c>
      <c r="D108" s="7" t="s">
        <v>25</v>
      </c>
      <c r="E108" s="7" t="s">
        <v>26</v>
      </c>
      <c r="F108" s="7" t="s">
        <v>27</v>
      </c>
      <c r="G108" s="7" t="s">
        <v>28</v>
      </c>
      <c r="H108" s="7" t="s">
        <v>29</v>
      </c>
      <c r="I108" s="7" t="s">
        <v>30</v>
      </c>
      <c r="J108" s="7" t="s">
        <v>31</v>
      </c>
      <c r="K108" s="7" t="s">
        <v>32</v>
      </c>
      <c r="L108" s="7" t="s">
        <v>33</v>
      </c>
      <c r="M108" s="7" t="s">
        <v>34</v>
      </c>
      <c r="N108" s="7" t="s">
        <v>35</v>
      </c>
      <c r="O108" s="7" t="s">
        <v>36</v>
      </c>
      <c r="P108" s="7" t="s">
        <v>37</v>
      </c>
      <c r="Q108" s="7" t="s">
        <v>28</v>
      </c>
      <c r="W108" s="7" t="s">
        <v>10</v>
      </c>
      <c r="X108" s="7" t="s">
        <v>38</v>
      </c>
      <c r="Y108" s="9"/>
    </row>
    <row r="109" spans="1:25" x14ac:dyDescent="0.2">
      <c r="B109" s="7" t="s">
        <v>39</v>
      </c>
      <c r="C109" s="7" t="s">
        <v>40</v>
      </c>
      <c r="D109" s="7" t="s">
        <v>40</v>
      </c>
      <c r="E109" s="7" t="s">
        <v>40</v>
      </c>
      <c r="F109" s="7" t="s">
        <v>40</v>
      </c>
      <c r="G109" s="7" t="s">
        <v>40</v>
      </c>
      <c r="H109" s="7" t="s">
        <v>40</v>
      </c>
      <c r="I109" s="7" t="s">
        <v>40</v>
      </c>
      <c r="J109" s="7" t="s">
        <v>40</v>
      </c>
      <c r="K109" s="7" t="s">
        <v>40</v>
      </c>
      <c r="L109" s="7" t="s">
        <v>40</v>
      </c>
      <c r="M109" s="7" t="s">
        <v>40</v>
      </c>
      <c r="N109" s="7" t="s">
        <v>40</v>
      </c>
      <c r="O109" s="7" t="s">
        <v>40</v>
      </c>
      <c r="P109" s="7" t="s">
        <v>40</v>
      </c>
      <c r="Q109" s="7" t="s">
        <v>40</v>
      </c>
      <c r="W109" s="7" t="s">
        <v>40</v>
      </c>
      <c r="X109" s="7" t="s">
        <v>40</v>
      </c>
    </row>
    <row r="110" spans="1:25" x14ac:dyDescent="0.2">
      <c r="A110" s="8" t="s">
        <v>41</v>
      </c>
      <c r="B110" s="2">
        <v>0</v>
      </c>
      <c r="C110" s="2">
        <v>127496.64</v>
      </c>
      <c r="D110" s="2">
        <v>184762.08</v>
      </c>
      <c r="E110" s="2">
        <v>47811.24</v>
      </c>
      <c r="F110" s="2">
        <v>68340.36</v>
      </c>
      <c r="G110" s="2">
        <f>SUM(B110:F110)</f>
        <v>428410.31999999995</v>
      </c>
      <c r="H110" s="2">
        <v>0</v>
      </c>
      <c r="I110" s="2">
        <v>0</v>
      </c>
      <c r="J110" s="2">
        <v>66304.789999999994</v>
      </c>
      <c r="K110" s="2">
        <v>67215.12</v>
      </c>
      <c r="L110" s="2">
        <v>0</v>
      </c>
      <c r="M110" s="2">
        <v>31414.639999999999</v>
      </c>
      <c r="N110" s="2">
        <v>62679.79</v>
      </c>
      <c r="O110" s="2">
        <v>30100.07</v>
      </c>
      <c r="P110" s="2">
        <v>16441.07</v>
      </c>
      <c r="Q110" s="2">
        <f>SUM(H110:P110)</f>
        <v>274155.48</v>
      </c>
      <c r="W110" s="2">
        <f>Q110+G110</f>
        <v>702565.79999999993</v>
      </c>
      <c r="X110" s="2"/>
    </row>
    <row r="111" spans="1:25" x14ac:dyDescent="0.2">
      <c r="A111" s="8" t="s">
        <v>42</v>
      </c>
      <c r="B111" s="2">
        <f t="shared" ref="B111:Q111" si="24">B95+B110-B61</f>
        <v>98819.559999999969</v>
      </c>
      <c r="C111" s="2">
        <f t="shared" si="24"/>
        <v>1596152.6399999997</v>
      </c>
      <c r="D111" s="2">
        <f t="shared" si="24"/>
        <v>2304347.3999999994</v>
      </c>
      <c r="E111" s="2">
        <f t="shared" si="24"/>
        <v>2024202.5999999996</v>
      </c>
      <c r="F111" s="2">
        <f t="shared" si="24"/>
        <v>1094039.2199999995</v>
      </c>
      <c r="G111" s="2">
        <f t="shared" si="24"/>
        <v>7117561.4200000018</v>
      </c>
      <c r="H111" s="2">
        <f t="shared" si="24"/>
        <v>1246696.3499999999</v>
      </c>
      <c r="I111" s="2">
        <f t="shared" si="24"/>
        <v>662228.4800000001</v>
      </c>
      <c r="J111" s="2">
        <f t="shared" si="24"/>
        <v>897452.99</v>
      </c>
      <c r="K111" s="2">
        <f t="shared" si="24"/>
        <v>884939.0399999998</v>
      </c>
      <c r="L111" s="2">
        <f t="shared" si="24"/>
        <v>292463.52000000014</v>
      </c>
      <c r="M111" s="2">
        <f t="shared" si="24"/>
        <v>470891.64000000013</v>
      </c>
      <c r="N111" s="2">
        <f t="shared" si="24"/>
        <v>695514.66000000015</v>
      </c>
      <c r="O111" s="2">
        <f t="shared" si="24"/>
        <v>1169468.32</v>
      </c>
      <c r="P111" s="2">
        <f t="shared" si="24"/>
        <v>486880.41000000009</v>
      </c>
      <c r="Q111" s="2">
        <f t="shared" si="24"/>
        <v>6806535.4100000001</v>
      </c>
      <c r="W111" s="2">
        <f>W95+W110-W61</f>
        <v>13924096.829999996</v>
      </c>
      <c r="X111" s="2">
        <f>W110+X95</f>
        <v>178509830.78999999</v>
      </c>
    </row>
    <row r="112" spans="1:25" x14ac:dyDescent="0.2"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W112" s="2"/>
      <c r="X112" s="2"/>
    </row>
    <row r="113" spans="1:25" x14ac:dyDescent="0.2">
      <c r="A113" s="8" t="s">
        <v>43</v>
      </c>
      <c r="B113" s="2">
        <v>0</v>
      </c>
      <c r="C113" s="2">
        <v>141002.64000000001</v>
      </c>
      <c r="D113" s="2">
        <v>214475.28</v>
      </c>
      <c r="E113" s="2">
        <v>0</v>
      </c>
      <c r="F113" s="2">
        <v>76443.960000000006</v>
      </c>
      <c r="G113" s="2">
        <f>SUM(B113:F113)</f>
        <v>431921.88000000006</v>
      </c>
      <c r="H113" s="2">
        <v>0</v>
      </c>
      <c r="I113" s="2">
        <v>0</v>
      </c>
      <c r="J113" s="2">
        <v>66153.91</v>
      </c>
      <c r="K113" s="2">
        <v>63059.22</v>
      </c>
      <c r="L113" s="2">
        <v>0</v>
      </c>
      <c r="M113" s="2">
        <v>31743.3</v>
      </c>
      <c r="N113" s="2">
        <v>57890.44</v>
      </c>
      <c r="O113" s="2">
        <v>0</v>
      </c>
      <c r="P113" s="2">
        <v>4669.26</v>
      </c>
      <c r="Q113" s="2">
        <f>SUM(H113:P113)</f>
        <v>223516.13</v>
      </c>
      <c r="W113" s="2">
        <f>Q113+G113</f>
        <v>655438.01</v>
      </c>
      <c r="X113" s="2"/>
      <c r="Y113" s="9"/>
    </row>
    <row r="114" spans="1:25" x14ac:dyDescent="0.2">
      <c r="A114" s="8" t="s">
        <v>42</v>
      </c>
      <c r="B114" s="2">
        <f>B111+B113-B64</f>
        <v>98819.559999999969</v>
      </c>
      <c r="C114" s="2">
        <f t="shared" ref="C114:Q114" si="25">C111+C113-C64</f>
        <v>1609172.4</v>
      </c>
      <c r="D114" s="2">
        <f t="shared" si="25"/>
        <v>2379300.3599999994</v>
      </c>
      <c r="E114" s="2">
        <f t="shared" si="25"/>
        <v>2024202.5999999996</v>
      </c>
      <c r="F114" s="2">
        <f t="shared" si="25"/>
        <v>1082101.5599999996</v>
      </c>
      <c r="G114" s="2">
        <f t="shared" si="25"/>
        <v>7193596.4800000014</v>
      </c>
      <c r="H114" s="2">
        <f t="shared" si="25"/>
        <v>1246696.3499999999</v>
      </c>
      <c r="I114" s="2">
        <f t="shared" si="25"/>
        <v>662228.4800000001</v>
      </c>
      <c r="J114" s="2">
        <f t="shared" si="25"/>
        <v>902184.27</v>
      </c>
      <c r="K114" s="2">
        <f t="shared" si="25"/>
        <v>890395.44999999972</v>
      </c>
      <c r="L114" s="2">
        <f t="shared" si="25"/>
        <v>292463.52000000014</v>
      </c>
      <c r="M114" s="2">
        <f t="shared" si="25"/>
        <v>475531.90000000014</v>
      </c>
      <c r="N114" s="2">
        <f t="shared" si="25"/>
        <v>702223.96000000008</v>
      </c>
      <c r="O114" s="2">
        <f t="shared" si="25"/>
        <v>1169468.32</v>
      </c>
      <c r="P114" s="2">
        <f t="shared" si="25"/>
        <v>491549.6700000001</v>
      </c>
      <c r="Q114" s="2">
        <f t="shared" si="25"/>
        <v>6832741.9199999999</v>
      </c>
      <c r="W114" s="2">
        <f>W111+W113-W64</f>
        <v>14026338.399999997</v>
      </c>
      <c r="X114" s="2">
        <f>W113+X111</f>
        <v>179165268.79999998</v>
      </c>
      <c r="Y114" s="9"/>
    </row>
    <row r="115" spans="1:25" x14ac:dyDescent="0.2"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W115" s="9"/>
      <c r="X115" s="9"/>
    </row>
    <row r="116" spans="1:25" x14ac:dyDescent="0.2">
      <c r="A116" s="8" t="s">
        <v>44</v>
      </c>
      <c r="B116" s="2">
        <v>0</v>
      </c>
      <c r="C116" s="2">
        <v>159640.92000000001</v>
      </c>
      <c r="D116" s="2">
        <v>17287.68</v>
      </c>
      <c r="E116" s="2">
        <v>0</v>
      </c>
      <c r="F116" s="2">
        <v>126146.04</v>
      </c>
      <c r="G116" s="2">
        <f>SUM(B116:F116)</f>
        <v>303074.64</v>
      </c>
      <c r="H116" s="2">
        <v>0</v>
      </c>
      <c r="I116" s="2">
        <v>0</v>
      </c>
      <c r="J116" s="2">
        <v>73149.820000000007</v>
      </c>
      <c r="K116" s="2">
        <v>66914.09</v>
      </c>
      <c r="L116" s="2">
        <v>0</v>
      </c>
      <c r="M116" s="2">
        <v>39570.339999999997</v>
      </c>
      <c r="N116" s="2">
        <v>61831.61</v>
      </c>
      <c r="O116" s="2">
        <v>0</v>
      </c>
      <c r="P116" s="2">
        <v>0</v>
      </c>
      <c r="Q116" s="2">
        <f>SUM(H116:P116)</f>
        <v>241465.86</v>
      </c>
      <c r="W116" s="2">
        <f>Q116+G116</f>
        <v>544540.5</v>
      </c>
      <c r="X116" s="2"/>
    </row>
    <row r="117" spans="1:25" x14ac:dyDescent="0.2">
      <c r="A117" s="8" t="s">
        <v>42</v>
      </c>
      <c r="B117" s="2">
        <f>B114+B116-B67</f>
        <v>98819.559999999969</v>
      </c>
      <c r="C117" s="2">
        <f t="shared" ref="C117:Q117" si="26">C114+C116-C67</f>
        <v>1614866.6999999997</v>
      </c>
      <c r="D117" s="2">
        <f t="shared" si="26"/>
        <v>2324728.7999999993</v>
      </c>
      <c r="E117" s="2">
        <f t="shared" si="26"/>
        <v>2016728.1899999997</v>
      </c>
      <c r="F117" s="2">
        <f t="shared" si="26"/>
        <v>1135863.8399999996</v>
      </c>
      <c r="G117" s="2">
        <f t="shared" si="26"/>
        <v>7191007.0900000008</v>
      </c>
      <c r="H117" s="2">
        <f t="shared" si="26"/>
        <v>1246696.3499999999</v>
      </c>
      <c r="I117" s="2">
        <f t="shared" si="26"/>
        <v>662228.4800000001</v>
      </c>
      <c r="J117" s="2">
        <f t="shared" si="26"/>
        <v>930169.43</v>
      </c>
      <c r="K117" s="2">
        <f t="shared" si="26"/>
        <v>916778.27999999968</v>
      </c>
      <c r="L117" s="2">
        <f t="shared" si="26"/>
        <v>292463.52000000014</v>
      </c>
      <c r="M117" s="2">
        <f t="shared" si="26"/>
        <v>490106.51000000013</v>
      </c>
      <c r="N117" s="2">
        <f t="shared" si="26"/>
        <v>719931.44000000006</v>
      </c>
      <c r="O117" s="2">
        <f t="shared" si="26"/>
        <v>1103826.6200000001</v>
      </c>
      <c r="P117" s="2">
        <f t="shared" si="26"/>
        <v>491549.6700000001</v>
      </c>
      <c r="Q117" s="2">
        <f t="shared" si="26"/>
        <v>6853750.3000000007</v>
      </c>
      <c r="W117" s="2">
        <f>W114+W116-W67</f>
        <v>14044757.389999997</v>
      </c>
      <c r="X117" s="2">
        <f>W116+X114</f>
        <v>179709809.29999998</v>
      </c>
      <c r="Y117" s="9"/>
    </row>
    <row r="118" spans="1:25" x14ac:dyDescent="0.2">
      <c r="X118" s="9"/>
    </row>
    <row r="119" spans="1:25" x14ac:dyDescent="0.2">
      <c r="A119" s="8" t="s">
        <v>45</v>
      </c>
      <c r="B119" s="2">
        <v>1944.86</v>
      </c>
      <c r="C119" s="2">
        <v>148566</v>
      </c>
      <c r="D119" s="2">
        <v>189084</v>
      </c>
      <c r="E119" s="2">
        <v>2025.9</v>
      </c>
      <c r="F119" s="2">
        <v>123174.72</v>
      </c>
      <c r="G119" s="2">
        <f>SUM(B119:F119)</f>
        <v>464795.48</v>
      </c>
      <c r="H119" s="2">
        <v>54620.57</v>
      </c>
      <c r="I119" s="2">
        <v>21773.14</v>
      </c>
      <c r="J119" s="2">
        <v>57198.02</v>
      </c>
      <c r="K119" s="2">
        <v>55577.760000000002</v>
      </c>
      <c r="L119" s="2">
        <v>22531.94</v>
      </c>
      <c r="M119" s="2">
        <v>23784.61</v>
      </c>
      <c r="N119" s="2">
        <v>47363.27</v>
      </c>
      <c r="O119" s="2">
        <v>3222.52</v>
      </c>
      <c r="P119" s="2">
        <v>0</v>
      </c>
      <c r="Q119" s="2">
        <f>SUM(H119:P119)</f>
        <v>286071.83</v>
      </c>
      <c r="W119" s="2">
        <f>Q119+G119</f>
        <v>750867.31</v>
      </c>
      <c r="X119" s="2"/>
    </row>
    <row r="120" spans="1:25" x14ac:dyDescent="0.2">
      <c r="A120" s="8" t="s">
        <v>42</v>
      </c>
      <c r="B120" s="2">
        <f>B117+B119-B70</f>
        <v>85448.439999999973</v>
      </c>
      <c r="C120" s="2">
        <f t="shared" ref="C120:Q120" si="27">C117+C119-C70</f>
        <v>1624697.1599999997</v>
      </c>
      <c r="D120" s="2">
        <f t="shared" si="27"/>
        <v>2313446.1599999992</v>
      </c>
      <c r="E120" s="2">
        <f t="shared" si="27"/>
        <v>1912538.7899999996</v>
      </c>
      <c r="F120" s="2">
        <f t="shared" si="27"/>
        <v>1158592.9799999995</v>
      </c>
      <c r="G120" s="2">
        <f t="shared" si="27"/>
        <v>7094723.5300000003</v>
      </c>
      <c r="H120" s="2">
        <f t="shared" si="27"/>
        <v>1204566.79</v>
      </c>
      <c r="I120" s="2">
        <f t="shared" si="27"/>
        <v>621527.90000000014</v>
      </c>
      <c r="J120" s="2">
        <f t="shared" si="27"/>
        <v>928912.60000000009</v>
      </c>
      <c r="K120" s="2">
        <f t="shared" si="27"/>
        <v>923434.06999999972</v>
      </c>
      <c r="L120" s="2">
        <f t="shared" si="27"/>
        <v>314995.46000000014</v>
      </c>
      <c r="M120" s="2">
        <f t="shared" si="27"/>
        <v>482422.84000000008</v>
      </c>
      <c r="N120" s="2">
        <f t="shared" si="27"/>
        <v>726884.8</v>
      </c>
      <c r="O120" s="2">
        <f t="shared" si="27"/>
        <v>984520.4800000001</v>
      </c>
      <c r="P120" s="2">
        <f t="shared" si="27"/>
        <v>482968.5500000001</v>
      </c>
      <c r="Q120" s="2">
        <f t="shared" si="27"/>
        <v>6670233.4900000002</v>
      </c>
      <c r="W120" s="2">
        <f>W117+W119-W70</f>
        <v>13764957.019999998</v>
      </c>
      <c r="X120" s="2">
        <f>W119+X117</f>
        <v>180460676.60999998</v>
      </c>
      <c r="Y120" s="9"/>
    </row>
    <row r="121" spans="1:25" x14ac:dyDescent="0.2">
      <c r="X121" s="9"/>
    </row>
    <row r="122" spans="1:25" x14ac:dyDescent="0.2">
      <c r="A122" s="8" t="s">
        <v>46</v>
      </c>
      <c r="B122" s="2">
        <v>34143.17</v>
      </c>
      <c r="C122" s="2">
        <v>158290.32</v>
      </c>
      <c r="D122" s="2">
        <v>190164.48000000001</v>
      </c>
      <c r="E122" s="2">
        <v>188003.52</v>
      </c>
      <c r="F122" s="2">
        <v>124255.2</v>
      </c>
      <c r="G122" s="2">
        <f>SUM(B122:F122)</f>
        <v>694856.69</v>
      </c>
      <c r="H122" s="2">
        <v>201285.62</v>
      </c>
      <c r="I122" s="2">
        <v>138644.32999999999</v>
      </c>
      <c r="J122" s="2">
        <v>66797.89</v>
      </c>
      <c r="K122" s="2">
        <v>65437.2</v>
      </c>
      <c r="L122" s="2">
        <v>0</v>
      </c>
      <c r="M122" s="2">
        <v>42512.79</v>
      </c>
      <c r="N122" s="2">
        <v>55985.71</v>
      </c>
      <c r="O122" s="2">
        <v>0</v>
      </c>
      <c r="P122" s="2">
        <v>0</v>
      </c>
      <c r="Q122" s="2">
        <f>SUM(H122:P122)</f>
        <v>570663.53999999992</v>
      </c>
      <c r="W122" s="2">
        <f>Q122+G122</f>
        <v>1265520.23</v>
      </c>
      <c r="X122" s="2"/>
    </row>
    <row r="123" spans="1:25" x14ac:dyDescent="0.2">
      <c r="A123" s="8" t="s">
        <v>42</v>
      </c>
      <c r="B123" s="2">
        <f>B120+B122-B73</f>
        <v>101128.50999999998</v>
      </c>
      <c r="C123" s="2">
        <f t="shared" ref="C123:Q123" si="28">C120+C122-C73</f>
        <v>1630876.6799999997</v>
      </c>
      <c r="D123" s="2">
        <f t="shared" si="28"/>
        <v>2331568.0799999991</v>
      </c>
      <c r="E123" s="2">
        <f t="shared" si="28"/>
        <v>1815334.5599999996</v>
      </c>
      <c r="F123" s="2">
        <f t="shared" si="28"/>
        <v>1174010.2799999996</v>
      </c>
      <c r="G123" s="2">
        <f t="shared" si="28"/>
        <v>7052918.1100000003</v>
      </c>
      <c r="H123" s="2">
        <f t="shared" si="28"/>
        <v>1303083.83</v>
      </c>
      <c r="I123" s="2">
        <f t="shared" si="28"/>
        <v>692966.4800000001</v>
      </c>
      <c r="J123" s="2">
        <f t="shared" si="28"/>
        <v>927198.10000000009</v>
      </c>
      <c r="K123" s="2">
        <f t="shared" si="28"/>
        <v>923304.34999999963</v>
      </c>
      <c r="L123" s="2">
        <f t="shared" si="28"/>
        <v>236609.94000000012</v>
      </c>
      <c r="M123" s="2">
        <f t="shared" si="28"/>
        <v>490712.97000000009</v>
      </c>
      <c r="N123" s="2">
        <f t="shared" si="28"/>
        <v>743265.55</v>
      </c>
      <c r="O123" s="2">
        <f t="shared" si="28"/>
        <v>859525.46000000008</v>
      </c>
      <c r="P123" s="2">
        <f t="shared" si="28"/>
        <v>482968.5500000001</v>
      </c>
      <c r="Q123" s="2">
        <f t="shared" si="28"/>
        <v>6659635.2300000004</v>
      </c>
      <c r="W123" s="2">
        <f>W120+W122-W73</f>
        <v>13712553.339999998</v>
      </c>
      <c r="X123" s="2">
        <f>W122+X120</f>
        <v>181726196.83999997</v>
      </c>
      <c r="Y123" s="9"/>
    </row>
    <row r="124" spans="1:25" x14ac:dyDescent="0.2">
      <c r="X124" s="9"/>
    </row>
    <row r="125" spans="1:25" x14ac:dyDescent="0.2">
      <c r="A125" s="8" t="s">
        <v>47</v>
      </c>
      <c r="B125" s="2">
        <v>16855.490000000002</v>
      </c>
      <c r="C125" s="2">
        <v>152347.68</v>
      </c>
      <c r="D125" s="2">
        <v>189624.24</v>
      </c>
      <c r="E125" s="2">
        <v>67665.06</v>
      </c>
      <c r="F125" s="2">
        <v>131548.44</v>
      </c>
      <c r="G125" s="2">
        <f>SUM(B125:F125)</f>
        <v>558040.90999999992</v>
      </c>
      <c r="H125" s="2">
        <v>290721.12</v>
      </c>
      <c r="I125" s="2">
        <v>191562.41</v>
      </c>
      <c r="J125" s="2">
        <v>83869.2</v>
      </c>
      <c r="K125" s="2">
        <v>85196.9</v>
      </c>
      <c r="L125" s="2">
        <v>0</v>
      </c>
      <c r="M125" s="2">
        <v>67058.5</v>
      </c>
      <c r="N125" s="2">
        <v>91319.41</v>
      </c>
      <c r="O125" s="2">
        <v>84009.56</v>
      </c>
      <c r="P125" s="2">
        <v>46420.03</v>
      </c>
      <c r="Q125" s="2">
        <f>SUM(H125:P125)</f>
        <v>940157.13000000012</v>
      </c>
      <c r="W125" s="2">
        <f>Q125+G125</f>
        <v>1498198.04</v>
      </c>
      <c r="X125" s="2"/>
    </row>
    <row r="126" spans="1:25" x14ac:dyDescent="0.2">
      <c r="A126" s="8" t="s">
        <v>42</v>
      </c>
      <c r="B126" s="2">
        <f>B123+B125-B76</f>
        <v>87352.029999999984</v>
      </c>
      <c r="C126" s="2">
        <f t="shared" ref="C126:Q126" si="29">C123+C125-C76</f>
        <v>1634522.9399999997</v>
      </c>
      <c r="D126" s="2">
        <f t="shared" si="29"/>
        <v>2263128.4799999995</v>
      </c>
      <c r="E126" s="2">
        <f t="shared" si="29"/>
        <v>1619821.7099999997</v>
      </c>
      <c r="F126" s="2">
        <f t="shared" si="29"/>
        <v>1205375.3999999994</v>
      </c>
      <c r="G126" s="2">
        <f t="shared" si="29"/>
        <v>6810200.5600000005</v>
      </c>
      <c r="H126" s="2">
        <f t="shared" si="29"/>
        <v>1355907.2300000002</v>
      </c>
      <c r="I126" s="2">
        <f t="shared" si="29"/>
        <v>736391.79000000015</v>
      </c>
      <c r="J126" s="2">
        <f t="shared" si="29"/>
        <v>907726.12000000011</v>
      </c>
      <c r="K126" s="2">
        <f t="shared" si="29"/>
        <v>907802.64999999967</v>
      </c>
      <c r="L126" s="2">
        <f t="shared" si="29"/>
        <v>168798.9800000001</v>
      </c>
      <c r="M126" s="2">
        <f t="shared" si="29"/>
        <v>499830.22000000009</v>
      </c>
      <c r="N126" s="2">
        <f t="shared" si="29"/>
        <v>771517.25000000012</v>
      </c>
      <c r="O126" s="2">
        <f t="shared" si="29"/>
        <v>766534.33000000007</v>
      </c>
      <c r="P126" s="2">
        <f t="shared" si="29"/>
        <v>529388.58000000007</v>
      </c>
      <c r="Q126" s="2">
        <f t="shared" si="29"/>
        <v>6643897.1500000004</v>
      </c>
      <c r="W126" s="2">
        <f>W123+W125-W76</f>
        <v>13454097.709999999</v>
      </c>
      <c r="X126" s="2">
        <f>W125+X123</f>
        <v>183224394.87999997</v>
      </c>
      <c r="Y126" s="9"/>
    </row>
    <row r="127" spans="1:25" x14ac:dyDescent="0.2">
      <c r="X127" s="9"/>
    </row>
    <row r="128" spans="1:25" x14ac:dyDescent="0.2">
      <c r="A128" s="8" t="s">
        <v>48</v>
      </c>
      <c r="B128" s="2">
        <v>33494.879999999997</v>
      </c>
      <c r="C128" s="2">
        <v>140732.51999999999</v>
      </c>
      <c r="D128" s="2">
        <v>279304.08</v>
      </c>
      <c r="E128" s="2">
        <v>70096.14</v>
      </c>
      <c r="F128" s="2">
        <v>130738.08</v>
      </c>
      <c r="G128" s="2">
        <f>SUM(B128:F128)</f>
        <v>654365.69999999995</v>
      </c>
      <c r="H128" s="2">
        <v>283155.13</v>
      </c>
      <c r="I128" s="2">
        <v>191166.82</v>
      </c>
      <c r="J128" s="2">
        <v>108981.63</v>
      </c>
      <c r="K128" s="2">
        <v>108617.99</v>
      </c>
      <c r="L128" s="2">
        <v>0</v>
      </c>
      <c r="M128" s="2">
        <v>77794.8</v>
      </c>
      <c r="N128" s="2">
        <v>93023.8</v>
      </c>
      <c r="O128" s="2">
        <v>107228.04</v>
      </c>
      <c r="P128" s="2">
        <v>9060.94</v>
      </c>
      <c r="Q128" s="2">
        <f>SUM(H128:P128)</f>
        <v>979029.15000000014</v>
      </c>
      <c r="W128" s="2">
        <f>Q128+G128</f>
        <v>1633394.85</v>
      </c>
      <c r="X128" s="2"/>
    </row>
    <row r="129" spans="1:25" x14ac:dyDescent="0.2">
      <c r="A129" s="8" t="s">
        <v>42</v>
      </c>
      <c r="B129" s="2">
        <f>B126+B128-B79</f>
        <v>112454.58999999997</v>
      </c>
      <c r="C129" s="2">
        <f t="shared" ref="C129:Q129" si="30">C126+C128-C79</f>
        <v>1619210.7599999998</v>
      </c>
      <c r="D129" s="2">
        <f t="shared" si="30"/>
        <v>2312168.2799999998</v>
      </c>
      <c r="E129" s="2">
        <f t="shared" si="30"/>
        <v>1449163.1699999997</v>
      </c>
      <c r="F129" s="2">
        <f t="shared" si="30"/>
        <v>1231733.9999999995</v>
      </c>
      <c r="G129" s="2">
        <f t="shared" si="30"/>
        <v>6724730.8000000007</v>
      </c>
      <c r="H129" s="2">
        <f t="shared" si="30"/>
        <v>1485794.9600000004</v>
      </c>
      <c r="I129" s="2">
        <f t="shared" si="30"/>
        <v>859311.64000000013</v>
      </c>
      <c r="J129" s="2">
        <f t="shared" si="30"/>
        <v>904418.08000000007</v>
      </c>
      <c r="K129" s="2">
        <f t="shared" si="30"/>
        <v>904157.12999999966</v>
      </c>
      <c r="L129" s="2">
        <f t="shared" si="30"/>
        <v>124927.5300000001</v>
      </c>
      <c r="M129" s="2">
        <f t="shared" si="30"/>
        <v>512803.30000000016</v>
      </c>
      <c r="N129" s="2">
        <f t="shared" si="30"/>
        <v>783142.39000000013</v>
      </c>
      <c r="O129" s="2">
        <f t="shared" si="30"/>
        <v>682948.58000000007</v>
      </c>
      <c r="P129" s="2">
        <f t="shared" si="30"/>
        <v>473658.9</v>
      </c>
      <c r="Q129" s="2">
        <f t="shared" si="30"/>
        <v>6731162.5100000007</v>
      </c>
      <c r="W129" s="2">
        <f>W126+W128-W79</f>
        <v>13455893.309999999</v>
      </c>
      <c r="X129" s="2">
        <f>W128+X126</f>
        <v>184857789.72999996</v>
      </c>
      <c r="Y129" s="9"/>
    </row>
    <row r="130" spans="1:25" x14ac:dyDescent="0.2">
      <c r="X130" s="9"/>
    </row>
    <row r="131" spans="1:25" x14ac:dyDescent="0.2">
      <c r="A131" s="8" t="s">
        <v>49</v>
      </c>
      <c r="B131" s="2">
        <v>32846.589999999997</v>
      </c>
      <c r="C131" s="2">
        <v>138571.56</v>
      </c>
      <c r="D131" s="2">
        <v>265798.08</v>
      </c>
      <c r="E131" s="2">
        <v>197727.84</v>
      </c>
      <c r="F131" s="2">
        <v>92921.279999999999</v>
      </c>
      <c r="G131" s="2">
        <f>SUM(B131:F131)</f>
        <v>727865.35</v>
      </c>
      <c r="H131" s="2">
        <v>343874.39</v>
      </c>
      <c r="I131" s="2">
        <v>232480.02</v>
      </c>
      <c r="J131" s="2">
        <v>104883.7</v>
      </c>
      <c r="K131" s="2">
        <v>99086.720000000001</v>
      </c>
      <c r="L131" s="2">
        <v>0</v>
      </c>
      <c r="M131" s="2">
        <v>70006.86</v>
      </c>
      <c r="N131" s="2">
        <v>90960.57</v>
      </c>
      <c r="O131" s="2">
        <v>152080.48000000001</v>
      </c>
      <c r="P131" s="2">
        <v>141375.5</v>
      </c>
      <c r="Q131" s="2">
        <f>SUM(H131:P131)</f>
        <v>1234748.24</v>
      </c>
      <c r="W131" s="2">
        <f>Q131+G131</f>
        <v>1962613.5899999999</v>
      </c>
      <c r="X131" s="2"/>
    </row>
    <row r="132" spans="1:25" x14ac:dyDescent="0.2">
      <c r="A132" s="8" t="s">
        <v>42</v>
      </c>
      <c r="B132" s="2">
        <f>B129+B131-B82</f>
        <v>145301.17999999996</v>
      </c>
      <c r="C132" s="2">
        <f t="shared" ref="C132:Q132" si="31">C129+C131-C82</f>
        <v>1609867.6799999997</v>
      </c>
      <c r="D132" s="2">
        <f t="shared" si="31"/>
        <v>2316755.4</v>
      </c>
      <c r="E132" s="2">
        <f t="shared" si="31"/>
        <v>1349488.1699999997</v>
      </c>
      <c r="F132" s="2">
        <f t="shared" si="31"/>
        <v>1287676.6199999996</v>
      </c>
      <c r="G132" s="2">
        <f t="shared" si="31"/>
        <v>6709089.0500000007</v>
      </c>
      <c r="H132" s="2">
        <f t="shared" si="31"/>
        <v>1703279.3500000006</v>
      </c>
      <c r="I132" s="2">
        <f t="shared" si="31"/>
        <v>1091791.6600000001</v>
      </c>
      <c r="J132" s="2">
        <f t="shared" si="31"/>
        <v>912407.79</v>
      </c>
      <c r="K132" s="2">
        <f t="shared" si="31"/>
        <v>902514.1999999996</v>
      </c>
      <c r="L132" s="2">
        <f t="shared" si="31"/>
        <v>33959.690000000104</v>
      </c>
      <c r="M132" s="2">
        <f t="shared" si="31"/>
        <v>519729.80000000016</v>
      </c>
      <c r="N132" s="2">
        <f t="shared" si="31"/>
        <v>781208.2200000002</v>
      </c>
      <c r="O132" s="2">
        <f t="shared" si="31"/>
        <v>677851.17</v>
      </c>
      <c r="P132" s="2">
        <f t="shared" si="31"/>
        <v>474455.07000000007</v>
      </c>
      <c r="Q132" s="2">
        <f t="shared" si="31"/>
        <v>7097196.9500000011</v>
      </c>
      <c r="W132" s="2">
        <f>W129+W131-W82</f>
        <v>13806285.999999998</v>
      </c>
      <c r="X132" s="2">
        <f>W131+X129</f>
        <v>186820403.31999996</v>
      </c>
      <c r="Y132" s="9"/>
    </row>
    <row r="133" spans="1:25" x14ac:dyDescent="0.2">
      <c r="X133" s="9"/>
    </row>
    <row r="134" spans="1:25" x14ac:dyDescent="0.2">
      <c r="A134" s="8" t="s">
        <v>50</v>
      </c>
      <c r="B134" s="2">
        <v>24869.9</v>
      </c>
      <c r="C134" s="2">
        <v>128394.97</v>
      </c>
      <c r="D134" s="2">
        <v>239388</v>
      </c>
      <c r="E134" s="2">
        <v>273718.40000000002</v>
      </c>
      <c r="F134" s="2">
        <v>103368.08</v>
      </c>
      <c r="G134" s="2">
        <f>SUM(B134:F134)</f>
        <v>769739.35</v>
      </c>
      <c r="H134" s="2">
        <v>281981.77</v>
      </c>
      <c r="I134" s="2">
        <v>171003.87</v>
      </c>
      <c r="J134" s="2">
        <v>104421.94</v>
      </c>
      <c r="K134" s="2">
        <v>101610.08</v>
      </c>
      <c r="L134" s="2">
        <v>0</v>
      </c>
      <c r="M134" s="2">
        <v>67374.55</v>
      </c>
      <c r="N134" s="2">
        <v>80569.259999999995</v>
      </c>
      <c r="O134" s="2">
        <v>49166.76</v>
      </c>
      <c r="P134" s="2">
        <v>96240.8</v>
      </c>
      <c r="Q134" s="2">
        <f>SUM(H134:P134)</f>
        <v>952369.03000000014</v>
      </c>
      <c r="W134" s="2">
        <f>Q134+G134</f>
        <v>1722108.3800000001</v>
      </c>
      <c r="X134" s="2"/>
    </row>
    <row r="135" spans="1:25" x14ac:dyDescent="0.2">
      <c r="A135" s="8" t="s">
        <v>42</v>
      </c>
      <c r="B135" s="2">
        <f>B132+B134-B85</f>
        <v>165345.49999999997</v>
      </c>
      <c r="C135" s="2">
        <f t="shared" ref="C135:Q135" si="32">C132+C134-C85</f>
        <v>1595330.9499999997</v>
      </c>
      <c r="D135" s="2">
        <f t="shared" si="32"/>
        <v>2329026.2399999998</v>
      </c>
      <c r="E135" s="2">
        <f t="shared" si="32"/>
        <v>1348620.3499999999</v>
      </c>
      <c r="F135" s="2">
        <f t="shared" si="32"/>
        <v>1277486.1199999996</v>
      </c>
      <c r="G135" s="2">
        <f t="shared" si="32"/>
        <v>6715809.1600000001</v>
      </c>
      <c r="H135" s="2">
        <f t="shared" si="32"/>
        <v>1720052.0400000005</v>
      </c>
      <c r="I135" s="2">
        <f t="shared" si="32"/>
        <v>1088165.2800000003</v>
      </c>
      <c r="J135" s="2">
        <f t="shared" si="32"/>
        <v>903927.01</v>
      </c>
      <c r="K135" s="2">
        <f t="shared" si="32"/>
        <v>893911.5699999996</v>
      </c>
      <c r="L135" s="2">
        <f t="shared" si="32"/>
        <v>33959.690000000104</v>
      </c>
      <c r="M135" s="2">
        <f t="shared" si="32"/>
        <v>524647.51000000024</v>
      </c>
      <c r="N135" s="2">
        <f t="shared" si="32"/>
        <v>785753.93000000017</v>
      </c>
      <c r="O135" s="2">
        <f t="shared" si="32"/>
        <v>649885.31000000006</v>
      </c>
      <c r="P135" s="2">
        <f t="shared" si="32"/>
        <v>529717.9800000001</v>
      </c>
      <c r="Q135" s="2">
        <f t="shared" si="32"/>
        <v>7130020.3200000012</v>
      </c>
      <c r="W135" s="2">
        <f>W132+W134-W85</f>
        <v>13845829.479999999</v>
      </c>
      <c r="X135" s="2">
        <f>W134+X132</f>
        <v>188542511.69999996</v>
      </c>
      <c r="Y135" s="9"/>
    </row>
    <row r="136" spans="1:25" x14ac:dyDescent="0.2">
      <c r="X136" s="9"/>
    </row>
    <row r="137" spans="1:25" x14ac:dyDescent="0.2">
      <c r="A137" s="8" t="s">
        <v>51</v>
      </c>
      <c r="B137" s="2">
        <v>0</v>
      </c>
      <c r="C137" s="2">
        <v>113990.64</v>
      </c>
      <c r="D137" s="2">
        <v>240947.04</v>
      </c>
      <c r="E137" s="2">
        <v>157615.01999999999</v>
      </c>
      <c r="F137" s="2">
        <v>133169.16</v>
      </c>
      <c r="G137" s="2">
        <f>SUM(B137:F137)</f>
        <v>645721.86</v>
      </c>
      <c r="H137" s="2">
        <v>36182.97</v>
      </c>
      <c r="I137" s="2">
        <v>0</v>
      </c>
      <c r="J137" s="2">
        <v>56745.32</v>
      </c>
      <c r="K137" s="2">
        <v>58170.64</v>
      </c>
      <c r="L137" s="2">
        <v>0</v>
      </c>
      <c r="M137" s="2">
        <v>41855.71</v>
      </c>
      <c r="N137" s="2">
        <v>56717.2</v>
      </c>
      <c r="O137" s="2">
        <v>13647.28</v>
      </c>
      <c r="P137" s="2">
        <v>0</v>
      </c>
      <c r="Q137" s="2">
        <f>SUM(H137:P137)</f>
        <v>263319.12</v>
      </c>
      <c r="W137" s="2">
        <f>Q137+G137</f>
        <v>909040.98</v>
      </c>
      <c r="X137" s="2"/>
    </row>
    <row r="138" spans="1:25" x14ac:dyDescent="0.2">
      <c r="A138" s="8" t="s">
        <v>42</v>
      </c>
      <c r="B138" s="2">
        <f>B135+B137-B88</f>
        <v>144154.88999999996</v>
      </c>
      <c r="C138" s="2">
        <f t="shared" ref="C138:Q138" si="33">C135+C137-C88</f>
        <v>1623038.0499999996</v>
      </c>
      <c r="D138" s="2">
        <f t="shared" si="33"/>
        <v>2375900.88</v>
      </c>
      <c r="E138" s="2">
        <f t="shared" si="33"/>
        <v>1219454.0599999998</v>
      </c>
      <c r="F138" s="2">
        <f t="shared" si="33"/>
        <v>1276640.4199999995</v>
      </c>
      <c r="G138" s="2">
        <f t="shared" si="33"/>
        <v>6639188.3000000007</v>
      </c>
      <c r="H138" s="2">
        <f t="shared" si="33"/>
        <v>1631420.9700000004</v>
      </c>
      <c r="I138" s="2">
        <f t="shared" si="33"/>
        <v>1000252.0100000002</v>
      </c>
      <c r="J138" s="2">
        <f t="shared" si="33"/>
        <v>888789.22</v>
      </c>
      <c r="K138" s="2">
        <f t="shared" si="33"/>
        <v>874472.43999999959</v>
      </c>
      <c r="L138" s="2">
        <f t="shared" si="33"/>
        <v>33959.690000000104</v>
      </c>
      <c r="M138" s="2">
        <f t="shared" si="33"/>
        <v>566503.2200000002</v>
      </c>
      <c r="N138" s="2">
        <f t="shared" si="33"/>
        <v>799394.82000000007</v>
      </c>
      <c r="O138" s="2">
        <f t="shared" si="33"/>
        <v>596644.88000000012</v>
      </c>
      <c r="P138" s="2">
        <f t="shared" si="33"/>
        <v>408786.83000000007</v>
      </c>
      <c r="Q138" s="2">
        <f t="shared" si="33"/>
        <v>6800224.080000001</v>
      </c>
      <c r="W138" s="2">
        <f>W135+W137-W88</f>
        <v>13439412.379999999</v>
      </c>
      <c r="X138" s="2">
        <f>W137+X135</f>
        <v>189451552.67999995</v>
      </c>
      <c r="Y138" s="9"/>
    </row>
    <row r="139" spans="1:25" x14ac:dyDescent="0.2">
      <c r="X139" s="9"/>
    </row>
    <row r="140" spans="1:25" x14ac:dyDescent="0.2">
      <c r="A140" s="8" t="s">
        <v>52</v>
      </c>
      <c r="B140" s="2">
        <v>0</v>
      </c>
      <c r="C140" s="2">
        <v>111019.32</v>
      </c>
      <c r="D140" s="2">
        <v>203130.23999999999</v>
      </c>
      <c r="E140" s="2">
        <v>139381.92000000001</v>
      </c>
      <c r="F140" s="2">
        <v>133979.51999999999</v>
      </c>
      <c r="G140" s="2">
        <f>SUM(B140:F140)</f>
        <v>587511</v>
      </c>
      <c r="H140" s="2">
        <v>0</v>
      </c>
      <c r="I140" s="2">
        <v>0</v>
      </c>
      <c r="J140" s="2">
        <v>60957.72</v>
      </c>
      <c r="K140" s="2">
        <v>59324.26</v>
      </c>
      <c r="L140" s="2">
        <v>0</v>
      </c>
      <c r="M140" s="2">
        <v>33861.370000000003</v>
      </c>
      <c r="N140" s="2">
        <v>55221.54</v>
      </c>
      <c r="O140" s="2">
        <v>21161.41</v>
      </c>
      <c r="P140" s="2">
        <v>0</v>
      </c>
      <c r="Q140" s="2">
        <f>SUM(H140:P140)</f>
        <v>230526.30000000002</v>
      </c>
      <c r="W140" s="2">
        <f>Q140+G140</f>
        <v>818037.3</v>
      </c>
      <c r="X140" s="2"/>
    </row>
    <row r="141" spans="1:25" x14ac:dyDescent="0.2">
      <c r="A141" s="8" t="s">
        <v>42</v>
      </c>
      <c r="B141" s="2">
        <f>B138+B140-B91</f>
        <v>144154.88999999996</v>
      </c>
      <c r="C141" s="2">
        <f t="shared" ref="C141:Q141" si="34">C138+C140-C91</f>
        <v>1621547.8299999996</v>
      </c>
      <c r="D141" s="2">
        <f t="shared" si="34"/>
        <v>2382860.64</v>
      </c>
      <c r="E141" s="2">
        <f t="shared" si="34"/>
        <v>1282518.3199999998</v>
      </c>
      <c r="F141" s="2">
        <f t="shared" si="34"/>
        <v>1345054.9399999995</v>
      </c>
      <c r="G141" s="2">
        <f t="shared" si="34"/>
        <v>6776136.620000001</v>
      </c>
      <c r="H141" s="2">
        <f t="shared" si="34"/>
        <v>1538658.8500000006</v>
      </c>
      <c r="I141" s="2">
        <f t="shared" si="34"/>
        <v>971579.4700000002</v>
      </c>
      <c r="J141" s="2">
        <f t="shared" si="34"/>
        <v>906528.98</v>
      </c>
      <c r="K141" s="2">
        <f t="shared" si="34"/>
        <v>887452.24999999965</v>
      </c>
      <c r="L141" s="2">
        <f t="shared" si="34"/>
        <v>33959.690000000104</v>
      </c>
      <c r="M141" s="2">
        <f t="shared" si="34"/>
        <v>561719.18000000017</v>
      </c>
      <c r="N141" s="2">
        <f t="shared" si="34"/>
        <v>795026.91000000015</v>
      </c>
      <c r="O141" s="2">
        <f t="shared" si="34"/>
        <v>554471.88000000012</v>
      </c>
      <c r="P141" s="2">
        <f t="shared" si="34"/>
        <v>389607.81000000006</v>
      </c>
      <c r="Q141" s="2">
        <f t="shared" si="34"/>
        <v>6639005.0200000005</v>
      </c>
      <c r="W141" s="2">
        <f>W138+W140-W91</f>
        <v>13415141.640000001</v>
      </c>
      <c r="X141" s="2">
        <f>W140+X138</f>
        <v>190269589.97999996</v>
      </c>
      <c r="Y141" s="9"/>
    </row>
    <row r="142" spans="1:25" x14ac:dyDescent="0.2">
      <c r="X142" s="9"/>
    </row>
    <row r="143" spans="1:25" x14ac:dyDescent="0.2">
      <c r="A143" s="8" t="s">
        <v>53</v>
      </c>
      <c r="B143" s="2">
        <v>0</v>
      </c>
      <c r="C143" s="2">
        <v>125875.92</v>
      </c>
      <c r="D143" s="2">
        <v>170715.84</v>
      </c>
      <c r="E143" s="2">
        <v>55104.480000000003</v>
      </c>
      <c r="F143" s="2">
        <v>138031.32</v>
      </c>
      <c r="G143" s="2">
        <v>489727.56</v>
      </c>
      <c r="H143" s="2">
        <v>30645.58</v>
      </c>
      <c r="I143" s="2">
        <v>0</v>
      </c>
      <c r="J143" s="2">
        <v>73918.06</v>
      </c>
      <c r="K143" s="2">
        <v>69227.69</v>
      </c>
      <c r="L143" s="2">
        <v>0</v>
      </c>
      <c r="M143" s="2">
        <v>28089.56</v>
      </c>
      <c r="N143" s="2">
        <v>58906.3</v>
      </c>
      <c r="O143" s="2">
        <v>0</v>
      </c>
      <c r="P143" s="2">
        <v>0</v>
      </c>
      <c r="Q143" s="2">
        <f>SUM(H143:P143)</f>
        <v>260787.19</v>
      </c>
      <c r="W143" s="2">
        <f>Q143+G143</f>
        <v>750514.75</v>
      </c>
      <c r="X143" s="2"/>
    </row>
    <row r="144" spans="1:25" x14ac:dyDescent="0.2">
      <c r="A144" s="8" t="s">
        <v>42</v>
      </c>
      <c r="B144" s="2">
        <f>B141+B143-B94</f>
        <v>144154.88999999996</v>
      </c>
      <c r="C144" s="2">
        <f t="shared" ref="C144:Q144" si="35">C141+C143-C94</f>
        <v>1645929.1299999994</v>
      </c>
      <c r="D144" s="2">
        <f t="shared" si="35"/>
        <v>2384681.04</v>
      </c>
      <c r="E144" s="2">
        <f t="shared" si="35"/>
        <v>1199149.5199999998</v>
      </c>
      <c r="F144" s="2">
        <f t="shared" si="35"/>
        <v>1382116.1599999995</v>
      </c>
      <c r="G144" s="2">
        <f t="shared" si="35"/>
        <v>6756030.7400000002</v>
      </c>
      <c r="H144" s="2">
        <f t="shared" si="35"/>
        <v>1522467.1500000006</v>
      </c>
      <c r="I144" s="2">
        <f t="shared" si="35"/>
        <v>946630.5900000002</v>
      </c>
      <c r="J144" s="2">
        <f t="shared" si="35"/>
        <v>923382</v>
      </c>
      <c r="K144" s="2">
        <f t="shared" si="35"/>
        <v>899437.66999999969</v>
      </c>
      <c r="L144" s="2">
        <f t="shared" si="35"/>
        <v>22531.940000000104</v>
      </c>
      <c r="M144" s="2">
        <f t="shared" si="35"/>
        <v>555067.03000000026</v>
      </c>
      <c r="N144" s="2">
        <f t="shared" si="35"/>
        <v>812468.90000000014</v>
      </c>
      <c r="O144" s="2">
        <f t="shared" si="35"/>
        <v>460616.12000000011</v>
      </c>
      <c r="P144" s="2">
        <f t="shared" si="35"/>
        <v>314207.60000000003</v>
      </c>
      <c r="Q144" s="2">
        <f t="shared" si="35"/>
        <v>6456809.0000000009</v>
      </c>
      <c r="W144" s="2">
        <f>W141+W143-W94</f>
        <v>13212839.74</v>
      </c>
      <c r="X144" s="2">
        <f>W143+X141</f>
        <v>191020104.72999996</v>
      </c>
    </row>
    <row r="145" spans="1:25" x14ac:dyDescent="0.2">
      <c r="W145" s="9"/>
      <c r="X145" s="9"/>
    </row>
    <row r="146" spans="1:25" x14ac:dyDescent="0.2">
      <c r="W146" s="9"/>
      <c r="X146" s="9"/>
    </row>
    <row r="147" spans="1:25" x14ac:dyDescent="0.2">
      <c r="W147" s="9"/>
      <c r="X147" s="9"/>
    </row>
    <row r="148" spans="1:25" x14ac:dyDescent="0.2">
      <c r="A148" s="3" t="s">
        <v>54</v>
      </c>
      <c r="W148" s="9"/>
      <c r="X148" s="9"/>
    </row>
    <row r="149" spans="1:25" x14ac:dyDescent="0.2"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X149" s="9"/>
    </row>
    <row r="150" spans="1:25" x14ac:dyDescent="0.2"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W150" s="2"/>
      <c r="X150" s="2"/>
    </row>
    <row r="151" spans="1:25" x14ac:dyDescent="0.2"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W151" s="2"/>
      <c r="X151" s="2"/>
    </row>
    <row r="152" spans="1:25" s="151" customFormat="1" ht="12.75" x14ac:dyDescent="0.2">
      <c r="A152" s="19"/>
      <c r="B152" s="147"/>
      <c r="C152" s="158" t="s">
        <v>59</v>
      </c>
      <c r="D152" s="52"/>
      <c r="E152" s="147"/>
      <c r="F152" s="147"/>
      <c r="G152" s="147"/>
      <c r="H152" s="147"/>
      <c r="I152" s="147"/>
      <c r="J152" s="147"/>
      <c r="K152" s="159">
        <f ca="1">NOW()</f>
        <v>42312.648458217591</v>
      </c>
      <c r="L152" s="160">
        <f ca="1">NOW()</f>
        <v>42312.648458217591</v>
      </c>
      <c r="M152" s="147"/>
      <c r="N152" s="147" t="s">
        <v>60</v>
      </c>
      <c r="O152" s="147"/>
      <c r="P152" s="147"/>
      <c r="Q152" s="147"/>
      <c r="R152" s="19"/>
      <c r="S152" s="19"/>
      <c r="T152" s="19"/>
      <c r="U152" s="19"/>
      <c r="V152" s="19"/>
      <c r="W152" s="147"/>
      <c r="X152" s="147"/>
    </row>
    <row r="153" spans="1:25" s="151" customFormat="1" ht="12.75" x14ac:dyDescent="0.2">
      <c r="A153" s="19"/>
      <c r="B153" s="147"/>
      <c r="C153" s="147"/>
      <c r="D153" s="161" t="s">
        <v>2</v>
      </c>
      <c r="E153" s="147"/>
      <c r="F153" s="161" t="s">
        <v>2</v>
      </c>
      <c r="G153" s="147"/>
      <c r="H153" s="161" t="s">
        <v>3</v>
      </c>
      <c r="I153" s="161" t="s">
        <v>4</v>
      </c>
      <c r="J153" s="147"/>
      <c r="K153" s="147"/>
      <c r="L153" s="147"/>
      <c r="M153" s="147"/>
      <c r="N153" s="147" t="str">
        <f>N$4</f>
        <v>A:\HISTCSTA.WR1</v>
      </c>
      <c r="O153" s="147"/>
      <c r="P153" s="147"/>
      <c r="Q153" s="147"/>
      <c r="R153" s="19"/>
      <c r="S153" s="19"/>
      <c r="T153" s="19"/>
      <c r="U153" s="19"/>
      <c r="V153" s="19"/>
      <c r="W153" s="147"/>
      <c r="X153" s="147"/>
    </row>
    <row r="154" spans="1:25" s="151" customFormat="1" ht="12.75" x14ac:dyDescent="0.2">
      <c r="A154" s="19"/>
      <c r="B154" s="147"/>
      <c r="C154" s="147"/>
      <c r="D154" s="147"/>
      <c r="E154" s="147"/>
      <c r="F154" s="162" t="str">
        <f>F$5</f>
        <v>Gross Revenue, Dollars</v>
      </c>
      <c r="G154" s="147"/>
      <c r="H154" s="147"/>
      <c r="I154" s="147"/>
      <c r="J154" s="147"/>
      <c r="K154" s="147"/>
      <c r="L154" s="147"/>
      <c r="M154" s="147"/>
      <c r="N154" s="147"/>
      <c r="O154" s="147"/>
      <c r="P154" s="147"/>
      <c r="Q154" s="147"/>
      <c r="R154" s="19"/>
      <c r="S154" s="19"/>
      <c r="T154" s="19"/>
      <c r="U154" s="19"/>
      <c r="V154" s="19"/>
      <c r="W154" s="147"/>
      <c r="X154" s="147"/>
    </row>
    <row r="155" spans="1:25" s="151" customFormat="1" ht="12.75" x14ac:dyDescent="0.2">
      <c r="A155" s="19"/>
      <c r="B155" s="147"/>
      <c r="C155" s="147"/>
      <c r="D155" s="147"/>
      <c r="E155" s="147"/>
      <c r="F155" s="147"/>
      <c r="G155" s="147"/>
      <c r="H155" s="147"/>
      <c r="I155" s="147"/>
      <c r="J155" s="147"/>
      <c r="K155" s="147"/>
      <c r="L155" s="147"/>
      <c r="M155" s="147"/>
      <c r="N155" s="147"/>
      <c r="O155" s="147"/>
      <c r="P155" s="147"/>
      <c r="Q155" s="147"/>
      <c r="R155" s="19"/>
      <c r="S155" s="19"/>
      <c r="T155" s="19"/>
      <c r="U155" s="19"/>
      <c r="V155" s="19"/>
      <c r="W155" s="147"/>
      <c r="X155" s="163" t="s">
        <v>7</v>
      </c>
    </row>
    <row r="156" spans="1:25" s="151" customFormat="1" ht="12.75" x14ac:dyDescent="0.2">
      <c r="A156" s="19"/>
      <c r="B156" s="158" t="s">
        <v>8</v>
      </c>
      <c r="C156" s="19"/>
      <c r="D156" s="19"/>
      <c r="E156" s="19"/>
      <c r="F156" s="19"/>
      <c r="G156" s="19"/>
      <c r="H156" s="158" t="s">
        <v>9</v>
      </c>
      <c r="I156" s="19"/>
      <c r="J156" s="19"/>
      <c r="K156" s="19"/>
      <c r="L156" s="19"/>
      <c r="M156" s="19"/>
      <c r="N156" s="19"/>
      <c r="O156" s="19"/>
      <c r="P156" s="19"/>
      <c r="Q156" s="147"/>
      <c r="R156" s="19"/>
      <c r="S156" s="19"/>
      <c r="T156" s="19"/>
      <c r="U156" s="19"/>
      <c r="V156" s="19"/>
      <c r="W156" s="147"/>
      <c r="X156" s="163" t="s">
        <v>10</v>
      </c>
    </row>
    <row r="157" spans="1:25" s="151" customFormat="1" ht="12.75" x14ac:dyDescent="0.2">
      <c r="A157" s="19"/>
      <c r="B157" s="163" t="s">
        <v>11</v>
      </c>
      <c r="C157" s="163" t="s">
        <v>12</v>
      </c>
      <c r="D157" s="163" t="s">
        <v>13</v>
      </c>
      <c r="E157" s="163" t="s">
        <v>14</v>
      </c>
      <c r="F157" s="163" t="s">
        <v>15</v>
      </c>
      <c r="G157" s="163" t="s">
        <v>16</v>
      </c>
      <c r="H157" s="163" t="s">
        <v>17</v>
      </c>
      <c r="I157" s="147"/>
      <c r="J157" s="147"/>
      <c r="K157" s="147"/>
      <c r="L157" s="147"/>
      <c r="M157" s="163" t="s">
        <v>18</v>
      </c>
      <c r="N157" s="163" t="s">
        <v>19</v>
      </c>
      <c r="O157" s="163" t="s">
        <v>20</v>
      </c>
      <c r="P157" s="163" t="s">
        <v>21</v>
      </c>
      <c r="Q157" s="163" t="s">
        <v>16</v>
      </c>
      <c r="R157" s="158" t="s">
        <v>61</v>
      </c>
      <c r="S157" s="158"/>
      <c r="T157" s="158"/>
      <c r="U157" s="158"/>
      <c r="V157" s="158"/>
      <c r="W157" s="163" t="s">
        <v>7</v>
      </c>
      <c r="X157" s="163" t="s">
        <v>22</v>
      </c>
      <c r="Y157" s="153"/>
    </row>
    <row r="158" spans="1:25" s="151" customFormat="1" ht="12.75" x14ac:dyDescent="0.2">
      <c r="A158" s="19"/>
      <c r="B158" s="163" t="s">
        <v>23</v>
      </c>
      <c r="C158" s="163" t="s">
        <v>24</v>
      </c>
      <c r="D158" s="163" t="s">
        <v>25</v>
      </c>
      <c r="E158" s="163" t="s">
        <v>26</v>
      </c>
      <c r="F158" s="163" t="s">
        <v>27</v>
      </c>
      <c r="G158" s="163" t="s">
        <v>28</v>
      </c>
      <c r="H158" s="163" t="s">
        <v>29</v>
      </c>
      <c r="I158" s="163" t="s">
        <v>30</v>
      </c>
      <c r="J158" s="163" t="s">
        <v>31</v>
      </c>
      <c r="K158" s="163" t="s">
        <v>32</v>
      </c>
      <c r="L158" s="163" t="s">
        <v>33</v>
      </c>
      <c r="M158" s="163" t="s">
        <v>34</v>
      </c>
      <c r="N158" s="163" t="s">
        <v>35</v>
      </c>
      <c r="O158" s="163" t="s">
        <v>36</v>
      </c>
      <c r="P158" s="163" t="s">
        <v>37</v>
      </c>
      <c r="Q158" s="163" t="s">
        <v>28</v>
      </c>
      <c r="R158" s="158" t="s">
        <v>62</v>
      </c>
      <c r="S158" s="158"/>
      <c r="T158" s="158"/>
      <c r="U158" s="158"/>
      <c r="V158" s="158"/>
      <c r="W158" s="163" t="s">
        <v>10</v>
      </c>
      <c r="X158" s="163" t="s">
        <v>38</v>
      </c>
    </row>
    <row r="159" spans="1:25" s="151" customFormat="1" ht="12.75" x14ac:dyDescent="0.2">
      <c r="A159" s="19"/>
      <c r="B159" s="163" t="s">
        <v>39</v>
      </c>
      <c r="C159" s="163" t="s">
        <v>40</v>
      </c>
      <c r="D159" s="163" t="s">
        <v>40</v>
      </c>
      <c r="E159" s="163" t="s">
        <v>40</v>
      </c>
      <c r="F159" s="163" t="s">
        <v>40</v>
      </c>
      <c r="G159" s="163" t="s">
        <v>40</v>
      </c>
      <c r="H159" s="163" t="s">
        <v>40</v>
      </c>
      <c r="I159" s="163" t="s">
        <v>40</v>
      </c>
      <c r="J159" s="163" t="s">
        <v>40</v>
      </c>
      <c r="K159" s="163" t="s">
        <v>40</v>
      </c>
      <c r="L159" s="163" t="s">
        <v>40</v>
      </c>
      <c r="M159" s="163" t="s">
        <v>40</v>
      </c>
      <c r="N159" s="163" t="s">
        <v>40</v>
      </c>
      <c r="O159" s="163" t="s">
        <v>40</v>
      </c>
      <c r="P159" s="163" t="s">
        <v>40</v>
      </c>
      <c r="Q159" s="163" t="s">
        <v>40</v>
      </c>
      <c r="R159" s="158" t="s">
        <v>63</v>
      </c>
      <c r="S159" s="158"/>
      <c r="T159" s="158"/>
      <c r="U159" s="158"/>
      <c r="V159" s="158"/>
      <c r="W159" s="163" t="s">
        <v>40</v>
      </c>
      <c r="X159" s="163" t="s">
        <v>40</v>
      </c>
    </row>
    <row r="160" spans="1:25" ht="12.75" x14ac:dyDescent="0.2">
      <c r="A160" s="164" t="s">
        <v>41</v>
      </c>
      <c r="B160" s="90">
        <v>0</v>
      </c>
      <c r="C160" s="90">
        <v>110175.12</v>
      </c>
      <c r="D160" s="90">
        <v>150238.79999999999</v>
      </c>
      <c r="E160" s="90">
        <v>12102.57</v>
      </c>
      <c r="F160" s="90">
        <v>138831.78</v>
      </c>
      <c r="G160" s="90">
        <f>SUM(B160:F160)</f>
        <v>411348.27</v>
      </c>
      <c r="H160" s="90">
        <v>9333.2099999999991</v>
      </c>
      <c r="I160" s="90">
        <v>0</v>
      </c>
      <c r="J160" s="90">
        <v>56682.6</v>
      </c>
      <c r="K160" s="90">
        <v>54311.65</v>
      </c>
      <c r="L160" s="90">
        <v>0</v>
      </c>
      <c r="M160" s="90">
        <v>27582.38</v>
      </c>
      <c r="N160" s="90">
        <v>51177.93</v>
      </c>
      <c r="O160" s="90">
        <v>4906.6000000000004</v>
      </c>
      <c r="P160" s="90">
        <v>38504.89</v>
      </c>
      <c r="Q160" s="90">
        <f>SUM(H160:P160)</f>
        <v>242499.26</v>
      </c>
      <c r="R160" s="90"/>
      <c r="S160" s="90"/>
      <c r="T160" s="90"/>
      <c r="U160" s="90"/>
      <c r="V160" s="90"/>
      <c r="W160" s="90">
        <f>Q160+G160</f>
        <v>653847.53</v>
      </c>
      <c r="X160" s="90"/>
      <c r="Y160" s="9"/>
    </row>
    <row r="161" spans="1:25" ht="12.75" x14ac:dyDescent="0.2">
      <c r="A161" s="164" t="s">
        <v>42</v>
      </c>
      <c r="B161" s="90">
        <f t="shared" ref="B161:Q161" si="36">B144+B160-B110</f>
        <v>144154.88999999996</v>
      </c>
      <c r="C161" s="90">
        <f t="shared" si="36"/>
        <v>1628607.6099999996</v>
      </c>
      <c r="D161" s="90">
        <f t="shared" si="36"/>
        <v>2350157.7599999998</v>
      </c>
      <c r="E161" s="90">
        <f t="shared" si="36"/>
        <v>1163440.8499999999</v>
      </c>
      <c r="F161" s="90">
        <f t="shared" si="36"/>
        <v>1452607.5799999994</v>
      </c>
      <c r="G161" s="90">
        <f t="shared" si="36"/>
        <v>6738968.6899999995</v>
      </c>
      <c r="H161" s="90">
        <f t="shared" si="36"/>
        <v>1531800.3600000006</v>
      </c>
      <c r="I161" s="90">
        <f t="shared" si="36"/>
        <v>946630.5900000002</v>
      </c>
      <c r="J161" s="90">
        <f t="shared" si="36"/>
        <v>913759.80999999994</v>
      </c>
      <c r="K161" s="90">
        <f t="shared" si="36"/>
        <v>886534.19999999972</v>
      </c>
      <c r="L161" s="90">
        <f t="shared" si="36"/>
        <v>22531.940000000104</v>
      </c>
      <c r="M161" s="90">
        <f t="shared" si="36"/>
        <v>551234.77000000025</v>
      </c>
      <c r="N161" s="90">
        <f t="shared" si="36"/>
        <v>800967.04000000015</v>
      </c>
      <c r="O161" s="90">
        <f t="shared" si="36"/>
        <v>435422.65000000008</v>
      </c>
      <c r="P161" s="90">
        <f t="shared" si="36"/>
        <v>336271.42000000004</v>
      </c>
      <c r="Q161" s="90">
        <f t="shared" si="36"/>
        <v>6425152.7800000012</v>
      </c>
      <c r="R161" s="52"/>
      <c r="S161" s="52"/>
      <c r="T161" s="52"/>
      <c r="U161" s="52"/>
      <c r="V161" s="52"/>
      <c r="W161" s="90">
        <f>W144+W160-W110</f>
        <v>13164121.469999999</v>
      </c>
      <c r="X161" s="90">
        <f>W160+X144</f>
        <v>191673952.25999996</v>
      </c>
    </row>
    <row r="162" spans="1:25" ht="12.75" x14ac:dyDescent="0.2">
      <c r="A162" s="19"/>
      <c r="B162" s="90"/>
      <c r="C162" s="90"/>
      <c r="D162" s="90"/>
      <c r="E162" s="90"/>
      <c r="F162" s="90"/>
      <c r="G162" s="90"/>
      <c r="H162" s="90"/>
      <c r="I162" s="90"/>
      <c r="J162" s="90"/>
      <c r="K162" s="90"/>
      <c r="L162" s="90"/>
      <c r="M162" s="90"/>
      <c r="N162" s="90"/>
      <c r="O162" s="90"/>
      <c r="P162" s="90"/>
      <c r="Q162" s="90"/>
      <c r="R162" s="52"/>
      <c r="S162" s="52"/>
      <c r="T162" s="52"/>
      <c r="U162" s="52"/>
      <c r="V162" s="52"/>
      <c r="W162" s="90"/>
      <c r="X162" s="90"/>
      <c r="Y162" s="9"/>
    </row>
    <row r="163" spans="1:25" ht="12.75" x14ac:dyDescent="0.2">
      <c r="A163" s="164" t="s">
        <v>43</v>
      </c>
      <c r="B163" s="90">
        <v>6009.55</v>
      </c>
      <c r="C163" s="90">
        <v>104332.5</v>
      </c>
      <c r="D163" s="90">
        <v>110175.12</v>
      </c>
      <c r="E163" s="90">
        <v>0</v>
      </c>
      <c r="F163" s="90">
        <v>103219.62</v>
      </c>
      <c r="G163" s="90">
        <f>SUM(B163:F163)</f>
        <v>323736.78999999998</v>
      </c>
      <c r="H163" s="90">
        <v>5537.55</v>
      </c>
      <c r="I163" s="90">
        <v>0</v>
      </c>
      <c r="J163" s="90">
        <v>59695.17</v>
      </c>
      <c r="K163" s="90">
        <v>58729.919999999998</v>
      </c>
      <c r="L163" s="90">
        <v>0</v>
      </c>
      <c r="M163" s="90">
        <v>7586.5</v>
      </c>
      <c r="N163" s="90">
        <v>49505.94</v>
      </c>
      <c r="O163" s="90">
        <v>0</v>
      </c>
      <c r="P163" s="90">
        <v>0</v>
      </c>
      <c r="Q163" s="90">
        <f>SUM(H163:P163)</f>
        <v>181055.08000000002</v>
      </c>
      <c r="R163" s="52"/>
      <c r="S163" s="52"/>
      <c r="T163" s="52"/>
      <c r="U163" s="52"/>
      <c r="V163" s="52"/>
      <c r="W163" s="90">
        <f>Q163+G163</f>
        <v>504791.87</v>
      </c>
      <c r="X163" s="90"/>
      <c r="Y163" s="9"/>
    </row>
    <row r="164" spans="1:25" ht="12.75" x14ac:dyDescent="0.2">
      <c r="A164" s="164" t="s">
        <v>42</v>
      </c>
      <c r="B164" s="90">
        <f t="shared" ref="B164:Q164" si="37">B161+B163-B113</f>
        <v>150164.43999999994</v>
      </c>
      <c r="C164" s="90">
        <f t="shared" si="37"/>
        <v>1591937.4699999997</v>
      </c>
      <c r="D164" s="90">
        <f t="shared" si="37"/>
        <v>2245857.6</v>
      </c>
      <c r="E164" s="90">
        <f t="shared" si="37"/>
        <v>1163440.8499999999</v>
      </c>
      <c r="F164" s="90">
        <f t="shared" si="37"/>
        <v>1479383.2399999993</v>
      </c>
      <c r="G164" s="90">
        <f t="shared" si="37"/>
        <v>6630783.5999999996</v>
      </c>
      <c r="H164" s="90">
        <f t="shared" si="37"/>
        <v>1537337.9100000006</v>
      </c>
      <c r="I164" s="90">
        <f t="shared" si="37"/>
        <v>946630.5900000002</v>
      </c>
      <c r="J164" s="90">
        <f t="shared" si="37"/>
        <v>907301.07</v>
      </c>
      <c r="K164" s="90">
        <f t="shared" si="37"/>
        <v>882204.89999999979</v>
      </c>
      <c r="L164" s="90">
        <f t="shared" si="37"/>
        <v>22531.940000000104</v>
      </c>
      <c r="M164" s="90">
        <f t="shared" si="37"/>
        <v>527077.9700000002</v>
      </c>
      <c r="N164" s="90">
        <f t="shared" si="37"/>
        <v>792582.54000000027</v>
      </c>
      <c r="O164" s="90">
        <f t="shared" si="37"/>
        <v>435422.65000000008</v>
      </c>
      <c r="P164" s="90">
        <f t="shared" si="37"/>
        <v>331602.16000000003</v>
      </c>
      <c r="Q164" s="90">
        <f t="shared" si="37"/>
        <v>6382691.7300000014</v>
      </c>
      <c r="R164" s="52"/>
      <c r="S164" s="52"/>
      <c r="T164" s="52"/>
      <c r="U164" s="52"/>
      <c r="V164" s="52"/>
      <c r="W164" s="90">
        <f>W161+W163-W113</f>
        <v>13013475.329999998</v>
      </c>
      <c r="X164" s="90">
        <f>W163+X161</f>
        <v>192178744.12999997</v>
      </c>
    </row>
    <row r="165" spans="1:25" ht="12.75" x14ac:dyDescent="0.2">
      <c r="A165" s="19"/>
      <c r="B165" s="91"/>
      <c r="C165" s="91"/>
      <c r="D165" s="91"/>
      <c r="E165" s="91"/>
      <c r="F165" s="91"/>
      <c r="G165" s="91"/>
      <c r="H165" s="91"/>
      <c r="I165" s="91"/>
      <c r="J165" s="91"/>
      <c r="K165" s="91"/>
      <c r="L165" s="91"/>
      <c r="M165" s="91"/>
      <c r="N165" s="91"/>
      <c r="O165" s="91"/>
      <c r="P165" s="91"/>
      <c r="Q165" s="91"/>
      <c r="R165" s="52"/>
      <c r="S165" s="52"/>
      <c r="T165" s="52"/>
      <c r="U165" s="52"/>
      <c r="V165" s="52"/>
      <c r="W165" s="91"/>
      <c r="X165" s="91"/>
    </row>
    <row r="166" spans="1:25" ht="12.75" x14ac:dyDescent="0.2">
      <c r="A166" s="164" t="s">
        <v>44</v>
      </c>
      <c r="B166" s="90">
        <v>18251.23</v>
      </c>
      <c r="C166" s="90">
        <v>95707.68</v>
      </c>
      <c r="D166" s="90">
        <v>119078.16</v>
      </c>
      <c r="E166" s="90">
        <v>7511.94</v>
      </c>
      <c r="F166" s="90">
        <v>114904.86</v>
      </c>
      <c r="G166" s="90">
        <f>SUM(B166:F166)</f>
        <v>355453.87</v>
      </c>
      <c r="H166" s="90">
        <v>71511.55</v>
      </c>
      <c r="I166" s="90">
        <v>16111.91</v>
      </c>
      <c r="J166" s="90">
        <v>32985.089999999997</v>
      </c>
      <c r="K166" s="90">
        <v>44188.79</v>
      </c>
      <c r="L166" s="90">
        <v>0</v>
      </c>
      <c r="M166" s="90">
        <v>34437.96</v>
      </c>
      <c r="N166" s="90">
        <v>51961.17</v>
      </c>
      <c r="O166" s="90">
        <v>11774.78</v>
      </c>
      <c r="P166" s="90">
        <v>41216.050000000003</v>
      </c>
      <c r="Q166" s="90">
        <f>SUM(H166:P166)</f>
        <v>304187.3</v>
      </c>
      <c r="R166" s="52"/>
      <c r="S166" s="52"/>
      <c r="T166" s="52"/>
      <c r="U166" s="52"/>
      <c r="V166" s="52"/>
      <c r="W166" s="90">
        <f>Q166+G166</f>
        <v>659641.16999999993</v>
      </c>
      <c r="X166" s="90"/>
      <c r="Y166" s="9"/>
    </row>
    <row r="167" spans="1:25" ht="12.75" x14ac:dyDescent="0.2">
      <c r="A167" s="164" t="s">
        <v>42</v>
      </c>
      <c r="B167" s="90">
        <f t="shared" ref="B167:Q167" si="38">B164+B166-B116</f>
        <v>168415.66999999995</v>
      </c>
      <c r="C167" s="90">
        <f t="shared" si="38"/>
        <v>1528004.2299999997</v>
      </c>
      <c r="D167" s="90">
        <f t="shared" si="38"/>
        <v>2347648.08</v>
      </c>
      <c r="E167" s="90">
        <f t="shared" si="38"/>
        <v>1170952.7899999998</v>
      </c>
      <c r="F167" s="90">
        <f t="shared" si="38"/>
        <v>1468142.0599999994</v>
      </c>
      <c r="G167" s="90">
        <f t="shared" si="38"/>
        <v>6683162.8300000001</v>
      </c>
      <c r="H167" s="90">
        <f t="shared" si="38"/>
        <v>1608849.4600000007</v>
      </c>
      <c r="I167" s="90">
        <f t="shared" si="38"/>
        <v>962742.50000000023</v>
      </c>
      <c r="J167" s="90">
        <f t="shared" si="38"/>
        <v>867136.33999999985</v>
      </c>
      <c r="K167" s="90">
        <f t="shared" si="38"/>
        <v>859479.59999999986</v>
      </c>
      <c r="L167" s="90">
        <f t="shared" si="38"/>
        <v>22531.940000000104</v>
      </c>
      <c r="M167" s="90">
        <f t="shared" si="38"/>
        <v>521945.5900000002</v>
      </c>
      <c r="N167" s="90">
        <f t="shared" si="38"/>
        <v>782712.10000000033</v>
      </c>
      <c r="O167" s="90">
        <f t="shared" si="38"/>
        <v>447197.43000000011</v>
      </c>
      <c r="P167" s="90">
        <f t="shared" si="38"/>
        <v>372818.21</v>
      </c>
      <c r="Q167" s="90">
        <f t="shared" si="38"/>
        <v>6445413.1700000009</v>
      </c>
      <c r="R167" s="52"/>
      <c r="S167" s="52"/>
      <c r="T167" s="52"/>
      <c r="U167" s="52"/>
      <c r="V167" s="52"/>
      <c r="W167" s="90">
        <f>W164+W166-W116</f>
        <v>13128575.999999998</v>
      </c>
      <c r="X167" s="90">
        <f>W166+X164</f>
        <v>192838385.29999995</v>
      </c>
    </row>
    <row r="168" spans="1:25" ht="12.75" x14ac:dyDescent="0.2">
      <c r="A168" s="19"/>
      <c r="B168" s="52"/>
      <c r="C168" s="52"/>
      <c r="D168" s="52"/>
      <c r="E168" s="52"/>
      <c r="F168" s="52"/>
      <c r="G168" s="52"/>
      <c r="H168" s="52"/>
      <c r="I168" s="52"/>
      <c r="J168" s="52"/>
      <c r="K168" s="52"/>
      <c r="L168" s="52"/>
      <c r="M168" s="52"/>
      <c r="N168" s="52"/>
      <c r="O168" s="52"/>
      <c r="P168" s="52"/>
      <c r="Q168" s="52"/>
      <c r="R168" s="52"/>
      <c r="S168" s="52"/>
      <c r="T168" s="52"/>
      <c r="U168" s="52"/>
      <c r="V168" s="52"/>
      <c r="W168" s="52"/>
      <c r="X168" s="91"/>
    </row>
    <row r="169" spans="1:25" ht="12.75" x14ac:dyDescent="0.2">
      <c r="A169" s="164" t="s">
        <v>45</v>
      </c>
      <c r="B169" s="90">
        <v>0</v>
      </c>
      <c r="C169" s="90">
        <v>132432.72</v>
      </c>
      <c r="D169" s="90">
        <v>105167.16</v>
      </c>
      <c r="E169" s="90">
        <v>215342.28</v>
      </c>
      <c r="F169" s="90">
        <v>50636.04</v>
      </c>
      <c r="G169" s="90">
        <f>SUM(B169:F169)</f>
        <v>503578.2</v>
      </c>
      <c r="H169" s="90">
        <v>14931.04</v>
      </c>
      <c r="I169" s="90">
        <v>0</v>
      </c>
      <c r="J169" s="90">
        <v>59030.78</v>
      </c>
      <c r="K169" s="90">
        <v>54447.56</v>
      </c>
      <c r="L169" s="90">
        <v>33881.19</v>
      </c>
      <c r="M169" s="90">
        <v>36039.440000000002</v>
      </c>
      <c r="N169" s="90">
        <v>54475.48</v>
      </c>
      <c r="O169" s="90">
        <v>0</v>
      </c>
      <c r="P169" s="90">
        <v>73687.210000000006</v>
      </c>
      <c r="Q169" s="90">
        <f>SUM(H169:P169)</f>
        <v>326492.7</v>
      </c>
      <c r="R169" s="52"/>
      <c r="S169" s="52"/>
      <c r="T169" s="52"/>
      <c r="U169" s="52"/>
      <c r="V169" s="52"/>
      <c r="W169" s="90">
        <f>Q169+G169</f>
        <v>830070.9</v>
      </c>
      <c r="X169" s="90"/>
      <c r="Y169" s="9"/>
    </row>
    <row r="170" spans="1:25" ht="12.75" x14ac:dyDescent="0.2">
      <c r="A170" s="164" t="s">
        <v>42</v>
      </c>
      <c r="B170" s="90">
        <f t="shared" ref="B170:Q170" si="39">B167+B169-B119</f>
        <v>166470.80999999997</v>
      </c>
      <c r="C170" s="90">
        <f t="shared" si="39"/>
        <v>1511870.9499999997</v>
      </c>
      <c r="D170" s="90">
        <f t="shared" si="39"/>
        <v>2263731.2400000002</v>
      </c>
      <c r="E170" s="90">
        <f t="shared" si="39"/>
        <v>1384269.17</v>
      </c>
      <c r="F170" s="90">
        <f t="shared" si="39"/>
        <v>1395603.3799999994</v>
      </c>
      <c r="G170" s="90">
        <f t="shared" si="39"/>
        <v>6721945.5500000007</v>
      </c>
      <c r="H170" s="90">
        <f t="shared" si="39"/>
        <v>1569159.9300000006</v>
      </c>
      <c r="I170" s="90">
        <f t="shared" si="39"/>
        <v>940969.36000000022</v>
      </c>
      <c r="J170" s="90">
        <f t="shared" si="39"/>
        <v>868969.09999999986</v>
      </c>
      <c r="K170" s="90">
        <f t="shared" si="39"/>
        <v>858349.39999999991</v>
      </c>
      <c r="L170" s="90">
        <f t="shared" si="39"/>
        <v>33881.190000000104</v>
      </c>
      <c r="M170" s="90">
        <f t="shared" si="39"/>
        <v>534200.42000000027</v>
      </c>
      <c r="N170" s="90">
        <f t="shared" si="39"/>
        <v>789824.31000000029</v>
      </c>
      <c r="O170" s="90">
        <f t="shared" si="39"/>
        <v>443974.91000000009</v>
      </c>
      <c r="P170" s="90">
        <f t="shared" si="39"/>
        <v>446505.42000000004</v>
      </c>
      <c r="Q170" s="90">
        <f t="shared" si="39"/>
        <v>6485834.040000001</v>
      </c>
      <c r="R170" s="52"/>
      <c r="S170" s="52"/>
      <c r="T170" s="52"/>
      <c r="U170" s="52"/>
      <c r="V170" s="52"/>
      <c r="W170" s="90">
        <f>W167+W169-W119</f>
        <v>13207779.589999998</v>
      </c>
      <c r="X170" s="90">
        <f>W169+X167</f>
        <v>193668456.19999996</v>
      </c>
    </row>
    <row r="171" spans="1:25" ht="12.75" x14ac:dyDescent="0.2">
      <c r="A171" s="19"/>
      <c r="B171" s="91"/>
      <c r="C171" s="91"/>
      <c r="D171" s="91"/>
      <c r="E171" s="91"/>
      <c r="F171" s="91"/>
      <c r="G171" s="91"/>
      <c r="H171" s="91"/>
      <c r="I171" s="91"/>
      <c r="J171" s="91"/>
      <c r="K171" s="91"/>
      <c r="L171" s="91"/>
      <c r="M171" s="91"/>
      <c r="N171" s="91"/>
      <c r="O171" s="91"/>
      <c r="P171" s="91"/>
      <c r="Q171" s="91"/>
      <c r="R171" s="52"/>
      <c r="S171" s="52"/>
      <c r="T171" s="52"/>
      <c r="U171" s="52"/>
      <c r="V171" s="52"/>
      <c r="W171" s="91"/>
      <c r="X171" s="91"/>
    </row>
    <row r="172" spans="1:25" ht="12.75" x14ac:dyDescent="0.2">
      <c r="A172" s="164" t="s">
        <v>46</v>
      </c>
      <c r="B172" s="90">
        <v>0</v>
      </c>
      <c r="C172" s="90">
        <v>149682.35999999999</v>
      </c>
      <c r="D172" s="90">
        <v>169157.76000000001</v>
      </c>
      <c r="E172" s="90">
        <v>307989.53999999998</v>
      </c>
      <c r="F172" s="90">
        <v>130485.18</v>
      </c>
      <c r="G172" s="90">
        <f>SUM(B172:F172)</f>
        <v>757314.83999999985</v>
      </c>
      <c r="H172" s="90">
        <v>89609.35</v>
      </c>
      <c r="I172" s="90">
        <v>4311.82</v>
      </c>
      <c r="J172" s="90">
        <v>50661.32</v>
      </c>
      <c r="K172" s="90">
        <v>46020.6</v>
      </c>
      <c r="L172" s="90">
        <v>107720</v>
      </c>
      <c r="M172" s="90">
        <v>37193.019999999997</v>
      </c>
      <c r="N172" s="90">
        <v>60924.49</v>
      </c>
      <c r="O172" s="90">
        <v>49223.64</v>
      </c>
      <c r="P172" s="90">
        <v>86018.41</v>
      </c>
      <c r="Q172" s="90">
        <f>SUM(H172:P172)</f>
        <v>531682.65</v>
      </c>
      <c r="R172" s="52"/>
      <c r="S172" s="52"/>
      <c r="T172" s="52"/>
      <c r="U172" s="52"/>
      <c r="V172" s="52"/>
      <c r="W172" s="90">
        <f>Q172+G172</f>
        <v>1288997.4899999998</v>
      </c>
      <c r="X172" s="90"/>
      <c r="Y172" s="9"/>
    </row>
    <row r="173" spans="1:25" ht="12.75" x14ac:dyDescent="0.2">
      <c r="A173" s="164" t="s">
        <v>42</v>
      </c>
      <c r="B173" s="90">
        <f t="shared" ref="B173:Q173" si="40">B170+B172-B122</f>
        <v>132327.63999999996</v>
      </c>
      <c r="C173" s="90">
        <f t="shared" si="40"/>
        <v>1503262.9899999995</v>
      </c>
      <c r="D173" s="90">
        <f t="shared" si="40"/>
        <v>2242724.52</v>
      </c>
      <c r="E173" s="90">
        <f t="shared" si="40"/>
        <v>1504255.19</v>
      </c>
      <c r="F173" s="90">
        <f t="shared" si="40"/>
        <v>1401833.3599999994</v>
      </c>
      <c r="G173" s="90">
        <f t="shared" si="40"/>
        <v>6784403.7000000011</v>
      </c>
      <c r="H173" s="90">
        <f t="shared" si="40"/>
        <v>1457483.6600000006</v>
      </c>
      <c r="I173" s="90">
        <f t="shared" si="40"/>
        <v>806636.85000000021</v>
      </c>
      <c r="J173" s="90">
        <f t="shared" si="40"/>
        <v>852832.5299999998</v>
      </c>
      <c r="K173" s="90">
        <f t="shared" si="40"/>
        <v>838932.79999999993</v>
      </c>
      <c r="L173" s="90">
        <f t="shared" si="40"/>
        <v>141601.19000000012</v>
      </c>
      <c r="M173" s="90">
        <f t="shared" si="40"/>
        <v>528880.65000000026</v>
      </c>
      <c r="N173" s="90">
        <f t="shared" si="40"/>
        <v>794763.09000000032</v>
      </c>
      <c r="O173" s="90">
        <f t="shared" si="40"/>
        <v>493198.5500000001</v>
      </c>
      <c r="P173" s="90">
        <f t="shared" si="40"/>
        <v>532523.83000000007</v>
      </c>
      <c r="Q173" s="90">
        <f t="shared" si="40"/>
        <v>6446853.1500000013</v>
      </c>
      <c r="R173" s="52"/>
      <c r="S173" s="52"/>
      <c r="T173" s="52"/>
      <c r="U173" s="52"/>
      <c r="V173" s="52"/>
      <c r="W173" s="90">
        <f>W170+W172-W122</f>
        <v>13231256.849999998</v>
      </c>
      <c r="X173" s="90">
        <f>W172+X170</f>
        <v>194957453.68999997</v>
      </c>
    </row>
    <row r="174" spans="1:25" ht="12.75" x14ac:dyDescent="0.2">
      <c r="A174" s="19"/>
      <c r="B174" s="91"/>
      <c r="C174" s="91"/>
      <c r="D174" s="91"/>
      <c r="E174" s="91"/>
      <c r="F174" s="91"/>
      <c r="G174" s="91"/>
      <c r="H174" s="91"/>
      <c r="I174" s="91"/>
      <c r="J174" s="91"/>
      <c r="K174" s="91"/>
      <c r="L174" s="91"/>
      <c r="M174" s="91"/>
      <c r="N174" s="91"/>
      <c r="O174" s="91"/>
      <c r="P174" s="91"/>
      <c r="Q174" s="91"/>
      <c r="R174" s="52"/>
      <c r="S174" s="52"/>
      <c r="T174" s="52"/>
      <c r="U174" s="52"/>
      <c r="V174" s="52"/>
      <c r="W174" s="91"/>
      <c r="X174" s="91"/>
    </row>
    <row r="175" spans="1:25" ht="12.75" x14ac:dyDescent="0.2">
      <c r="A175" s="164" t="s">
        <v>47</v>
      </c>
      <c r="B175" s="90">
        <v>24928.51</v>
      </c>
      <c r="C175" s="90">
        <v>143304.68</v>
      </c>
      <c r="D175" s="90">
        <v>205027.41</v>
      </c>
      <c r="E175" s="90">
        <v>297352.34999999998</v>
      </c>
      <c r="F175" s="90">
        <v>98475.97</v>
      </c>
      <c r="G175" s="90">
        <f>SUM(B175:F175)</f>
        <v>769088.91999999993</v>
      </c>
      <c r="H175" s="90">
        <v>301866.88</v>
      </c>
      <c r="I175" s="90">
        <v>214574.92</v>
      </c>
      <c r="J175" s="90">
        <v>66216.41</v>
      </c>
      <c r="K175" s="90">
        <v>60323.87</v>
      </c>
      <c r="L175" s="90">
        <v>205427.1</v>
      </c>
      <c r="M175" s="90">
        <v>57181.53</v>
      </c>
      <c r="N175" s="90">
        <v>77380.92</v>
      </c>
      <c r="O175" s="90">
        <v>169578.91</v>
      </c>
      <c r="P175" s="90">
        <v>130388.28</v>
      </c>
      <c r="Q175" s="90">
        <f>SUM(H175:P175)</f>
        <v>1282938.82</v>
      </c>
      <c r="R175" s="90">
        <v>-17.95</v>
      </c>
      <c r="S175" s="90"/>
      <c r="T175" s="90"/>
      <c r="U175" s="90"/>
      <c r="V175" s="90"/>
      <c r="W175" s="90">
        <f>Q175+G175+R175</f>
        <v>2052009.79</v>
      </c>
      <c r="X175" s="90"/>
      <c r="Y175" s="9"/>
    </row>
    <row r="176" spans="1:25" ht="12.75" x14ac:dyDescent="0.2">
      <c r="A176" s="164" t="s">
        <v>42</v>
      </c>
      <c r="B176" s="90">
        <f t="shared" ref="B176:Q176" si="41">B173+B175-B125</f>
        <v>140400.65999999997</v>
      </c>
      <c r="C176" s="90">
        <f t="shared" si="41"/>
        <v>1494219.9899999995</v>
      </c>
      <c r="D176" s="90">
        <f t="shared" si="41"/>
        <v>2258127.6900000004</v>
      </c>
      <c r="E176" s="90">
        <f t="shared" si="41"/>
        <v>1733942.48</v>
      </c>
      <c r="F176" s="90">
        <f t="shared" si="41"/>
        <v>1368760.8899999994</v>
      </c>
      <c r="G176" s="90">
        <f t="shared" si="41"/>
        <v>6995451.7100000009</v>
      </c>
      <c r="H176" s="90">
        <f t="shared" si="41"/>
        <v>1468629.4200000004</v>
      </c>
      <c r="I176" s="90">
        <f t="shared" si="41"/>
        <v>829649.36000000022</v>
      </c>
      <c r="J176" s="90">
        <f t="shared" si="41"/>
        <v>835179.73999999987</v>
      </c>
      <c r="K176" s="90">
        <f t="shared" si="41"/>
        <v>814059.7699999999</v>
      </c>
      <c r="L176" s="90">
        <f t="shared" si="41"/>
        <v>347028.29000000015</v>
      </c>
      <c r="M176" s="90">
        <f t="shared" si="41"/>
        <v>519003.68000000028</v>
      </c>
      <c r="N176" s="90">
        <f t="shared" si="41"/>
        <v>780824.60000000033</v>
      </c>
      <c r="O176" s="90">
        <f t="shared" si="41"/>
        <v>578767.90000000014</v>
      </c>
      <c r="P176" s="90">
        <f t="shared" si="41"/>
        <v>616492.08000000007</v>
      </c>
      <c r="Q176" s="90">
        <f t="shared" si="41"/>
        <v>6789634.8400000017</v>
      </c>
      <c r="R176" s="90">
        <f>R175</f>
        <v>-17.95</v>
      </c>
      <c r="S176" s="90"/>
      <c r="T176" s="90"/>
      <c r="U176" s="90"/>
      <c r="V176" s="90"/>
      <c r="W176" s="90">
        <f>W173+W175-W125</f>
        <v>13785068.599999998</v>
      </c>
      <c r="X176" s="90">
        <f>W175+X173</f>
        <v>197009463.47999996</v>
      </c>
    </row>
    <row r="177" spans="1:25" ht="12.75" x14ac:dyDescent="0.2">
      <c r="A177" s="19"/>
      <c r="B177" s="52"/>
      <c r="C177" s="52"/>
      <c r="D177" s="52"/>
      <c r="E177" s="52"/>
      <c r="F177" s="52"/>
      <c r="G177" s="52"/>
      <c r="H177" s="52"/>
      <c r="I177" s="52"/>
      <c r="J177" s="52"/>
      <c r="K177" s="52"/>
      <c r="L177" s="52"/>
      <c r="M177" s="52"/>
      <c r="N177" s="52"/>
      <c r="O177" s="52"/>
      <c r="P177" s="52"/>
      <c r="Q177" s="52"/>
      <c r="R177" s="52"/>
      <c r="S177" s="52"/>
      <c r="T177" s="52"/>
      <c r="U177" s="52"/>
      <c r="V177" s="52"/>
      <c r="W177" s="52"/>
      <c r="X177" s="91"/>
    </row>
    <row r="178" spans="1:25" ht="12.75" x14ac:dyDescent="0.2">
      <c r="A178" s="164" t="s">
        <v>48</v>
      </c>
      <c r="B178" s="90">
        <v>22480.18</v>
      </c>
      <c r="C178" s="90">
        <v>161645.82</v>
      </c>
      <c r="D178" s="90">
        <v>243720.72</v>
      </c>
      <c r="E178" s="90">
        <v>169435.98</v>
      </c>
      <c r="F178" s="90">
        <v>126590.1</v>
      </c>
      <c r="G178" s="90">
        <f>SUM(B178:F178)</f>
        <v>723872.79999999993</v>
      </c>
      <c r="H178" s="90">
        <v>50127.32</v>
      </c>
      <c r="I178" s="90">
        <v>24523.46</v>
      </c>
      <c r="J178" s="90">
        <v>93489.09</v>
      </c>
      <c r="K178" s="90">
        <v>93702.88</v>
      </c>
      <c r="L178" s="90">
        <v>146966.43</v>
      </c>
      <c r="M178" s="90">
        <v>52836.59</v>
      </c>
      <c r="N178" s="90">
        <v>71081.62</v>
      </c>
      <c r="O178" s="90">
        <v>182992.31</v>
      </c>
      <c r="P178" s="90">
        <v>2530.96</v>
      </c>
      <c r="Q178" s="90">
        <f>SUM(H178:P178)</f>
        <v>718250.65999999992</v>
      </c>
      <c r="R178" s="90">
        <v>25867.47</v>
      </c>
      <c r="S178" s="90"/>
      <c r="T178" s="90"/>
      <c r="U178" s="90"/>
      <c r="V178" s="90"/>
      <c r="W178" s="90">
        <f>Q178+G178+R178</f>
        <v>1467990.93</v>
      </c>
      <c r="X178" s="90"/>
      <c r="Y178" s="9"/>
    </row>
    <row r="179" spans="1:25" ht="12.75" x14ac:dyDescent="0.2">
      <c r="A179" s="164" t="s">
        <v>42</v>
      </c>
      <c r="B179" s="90">
        <f t="shared" ref="B179:Q179" si="42">B176+B178-B128</f>
        <v>129385.95999999996</v>
      </c>
      <c r="C179" s="90">
        <f t="shared" si="42"/>
        <v>1515133.2899999996</v>
      </c>
      <c r="D179" s="90">
        <f t="shared" si="42"/>
        <v>2222544.3300000005</v>
      </c>
      <c r="E179" s="90">
        <f t="shared" si="42"/>
        <v>1833282.32</v>
      </c>
      <c r="F179" s="90">
        <f t="shared" si="42"/>
        <v>1364612.9099999995</v>
      </c>
      <c r="G179" s="90">
        <f t="shared" si="42"/>
        <v>7064958.8100000005</v>
      </c>
      <c r="H179" s="90">
        <f t="shared" si="42"/>
        <v>1235601.6100000003</v>
      </c>
      <c r="I179" s="90">
        <f t="shared" si="42"/>
        <v>663006.00000000023</v>
      </c>
      <c r="J179" s="90">
        <f t="shared" si="42"/>
        <v>819687.19999999984</v>
      </c>
      <c r="K179" s="90">
        <f t="shared" si="42"/>
        <v>799144.65999999992</v>
      </c>
      <c r="L179" s="90">
        <f t="shared" si="42"/>
        <v>493994.72000000015</v>
      </c>
      <c r="M179" s="90">
        <f t="shared" si="42"/>
        <v>494045.47000000026</v>
      </c>
      <c r="N179" s="90">
        <f t="shared" si="42"/>
        <v>758882.42000000027</v>
      </c>
      <c r="O179" s="90">
        <f t="shared" si="42"/>
        <v>654532.17000000016</v>
      </c>
      <c r="P179" s="90">
        <f t="shared" si="42"/>
        <v>609962.10000000009</v>
      </c>
      <c r="Q179" s="90">
        <f t="shared" si="42"/>
        <v>6528856.3500000015</v>
      </c>
      <c r="R179" s="90">
        <f>R176+R178-R128</f>
        <v>25849.52</v>
      </c>
      <c r="S179" s="90"/>
      <c r="T179" s="90"/>
      <c r="U179" s="90"/>
      <c r="V179" s="90"/>
      <c r="W179" s="90">
        <f>W176+W178-W128</f>
        <v>13619664.679999998</v>
      </c>
      <c r="X179" s="90">
        <f>W178+X176</f>
        <v>198477454.40999997</v>
      </c>
    </row>
    <row r="180" spans="1:25" ht="12.75" x14ac:dyDescent="0.2">
      <c r="A180" s="19"/>
      <c r="B180" s="91"/>
      <c r="C180" s="91"/>
      <c r="D180" s="91"/>
      <c r="E180" s="91"/>
      <c r="F180" s="91"/>
      <c r="G180" s="91"/>
      <c r="H180" s="91"/>
      <c r="I180" s="91"/>
      <c r="J180" s="91"/>
      <c r="K180" s="91"/>
      <c r="L180" s="91"/>
      <c r="M180" s="91"/>
      <c r="N180" s="91"/>
      <c r="O180" s="91"/>
      <c r="P180" s="91"/>
      <c r="Q180" s="91"/>
      <c r="R180" s="90"/>
      <c r="S180" s="90"/>
      <c r="T180" s="90"/>
      <c r="U180" s="90"/>
      <c r="V180" s="90"/>
      <c r="W180" s="91"/>
      <c r="X180" s="91"/>
    </row>
    <row r="181" spans="1:25" ht="12.75" x14ac:dyDescent="0.2">
      <c r="A181" s="164" t="s">
        <v>49</v>
      </c>
      <c r="B181" s="90">
        <v>0</v>
      </c>
      <c r="C181" s="90">
        <v>155803.20000000001</v>
      </c>
      <c r="D181" s="90">
        <v>246502.92</v>
      </c>
      <c r="E181" s="90">
        <v>93481.919999999998</v>
      </c>
      <c r="F181" s="90">
        <v>146621.94</v>
      </c>
      <c r="G181" s="90">
        <f>SUM(B181:F181)</f>
        <v>642409.98</v>
      </c>
      <c r="H181" s="90">
        <v>59748.6</v>
      </c>
      <c r="I181" s="90">
        <v>0</v>
      </c>
      <c r="J181" s="90">
        <v>71071.92</v>
      </c>
      <c r="K181" s="90">
        <v>78706.240000000005</v>
      </c>
      <c r="L181" s="90">
        <v>24337.64</v>
      </c>
      <c r="M181" s="90">
        <v>54334.42</v>
      </c>
      <c r="N181" s="90">
        <v>89398.07</v>
      </c>
      <c r="O181" s="90">
        <v>185813.68</v>
      </c>
      <c r="P181" s="90">
        <v>798.9</v>
      </c>
      <c r="Q181" s="90">
        <f>SUM(H181:P181)</f>
        <v>564209.47000000009</v>
      </c>
      <c r="R181" s="90">
        <v>81956.08</v>
      </c>
      <c r="S181" s="90"/>
      <c r="T181" s="90"/>
      <c r="U181" s="90"/>
      <c r="V181" s="90"/>
      <c r="W181" s="90">
        <f>Q181+G181+R181</f>
        <v>1288575.5300000003</v>
      </c>
      <c r="X181" s="90"/>
      <c r="Y181" s="9"/>
    </row>
    <row r="182" spans="1:25" ht="12.75" x14ac:dyDescent="0.2">
      <c r="A182" s="164" t="s">
        <v>42</v>
      </c>
      <c r="B182" s="90">
        <f t="shared" ref="B182:Q182" si="43">B179+B181-B131</f>
        <v>96539.369999999966</v>
      </c>
      <c r="C182" s="90">
        <f t="shared" si="43"/>
        <v>1532364.9299999995</v>
      </c>
      <c r="D182" s="90">
        <f t="shared" si="43"/>
        <v>2203249.1700000004</v>
      </c>
      <c r="E182" s="90">
        <f t="shared" si="43"/>
        <v>1729036.4</v>
      </c>
      <c r="F182" s="90">
        <f t="shared" si="43"/>
        <v>1418313.5699999994</v>
      </c>
      <c r="G182" s="90">
        <f t="shared" si="43"/>
        <v>6979503.4400000013</v>
      </c>
      <c r="H182" s="90">
        <f t="shared" si="43"/>
        <v>951475.82000000041</v>
      </c>
      <c r="I182" s="90">
        <f t="shared" si="43"/>
        <v>430525.98000000021</v>
      </c>
      <c r="J182" s="90">
        <f t="shared" si="43"/>
        <v>785875.41999999993</v>
      </c>
      <c r="K182" s="90">
        <f t="shared" si="43"/>
        <v>778764.17999999993</v>
      </c>
      <c r="L182" s="90">
        <f t="shared" si="43"/>
        <v>518332.36000000016</v>
      </c>
      <c r="M182" s="90">
        <f t="shared" si="43"/>
        <v>478373.03000000026</v>
      </c>
      <c r="N182" s="90">
        <f t="shared" si="43"/>
        <v>757319.92000000016</v>
      </c>
      <c r="O182" s="90">
        <f t="shared" si="43"/>
        <v>688265.37000000011</v>
      </c>
      <c r="P182" s="90">
        <f t="shared" si="43"/>
        <v>469385.50000000012</v>
      </c>
      <c r="Q182" s="90">
        <f t="shared" si="43"/>
        <v>5858317.580000001</v>
      </c>
      <c r="R182" s="90">
        <f>R179+R181-R131</f>
        <v>107805.6</v>
      </c>
      <c r="S182" s="90"/>
      <c r="T182" s="90"/>
      <c r="U182" s="90"/>
      <c r="V182" s="90"/>
      <c r="W182" s="90">
        <f>W179+W181-W131</f>
        <v>12945626.619999997</v>
      </c>
      <c r="X182" s="90">
        <f>W181+X179</f>
        <v>199766029.93999997</v>
      </c>
    </row>
    <row r="183" spans="1:25" ht="12.75" x14ac:dyDescent="0.2">
      <c r="A183" s="19"/>
      <c r="B183" s="52"/>
      <c r="C183" s="52"/>
      <c r="D183" s="52"/>
      <c r="E183" s="52"/>
      <c r="F183" s="52"/>
      <c r="G183" s="52"/>
      <c r="H183" s="52"/>
      <c r="I183" s="52"/>
      <c r="J183" s="52"/>
      <c r="K183" s="52"/>
      <c r="L183" s="52"/>
      <c r="M183" s="52"/>
      <c r="N183" s="52"/>
      <c r="O183" s="52"/>
      <c r="P183" s="52"/>
      <c r="Q183" s="52"/>
      <c r="R183" s="90"/>
      <c r="S183" s="90"/>
      <c r="T183" s="90"/>
      <c r="U183" s="90"/>
      <c r="V183" s="90"/>
      <c r="W183" s="52"/>
      <c r="X183" s="91"/>
    </row>
    <row r="184" spans="1:25" ht="12.75" x14ac:dyDescent="0.2">
      <c r="A184" s="164" t="s">
        <v>50</v>
      </c>
      <c r="B184" s="90">
        <v>0</v>
      </c>
      <c r="C184" s="90">
        <v>142448.64000000001</v>
      </c>
      <c r="D184" s="90">
        <v>229809.72</v>
      </c>
      <c r="E184" s="90">
        <v>95568.57</v>
      </c>
      <c r="F184" s="90">
        <v>126590.1</v>
      </c>
      <c r="G184" s="90">
        <f>SUM(B184:F184)</f>
        <v>594417.03</v>
      </c>
      <c r="H184" s="90">
        <v>0</v>
      </c>
      <c r="I184" s="90">
        <v>0</v>
      </c>
      <c r="J184" s="90">
        <v>79009.53</v>
      </c>
      <c r="K184" s="90">
        <v>84927.63</v>
      </c>
      <c r="L184" s="90">
        <v>61285.440000000002</v>
      </c>
      <c r="M184" s="90">
        <v>51986.29</v>
      </c>
      <c r="N184" s="90">
        <v>82607.240000000005</v>
      </c>
      <c r="O184" s="90">
        <v>163519.43</v>
      </c>
      <c r="P184" s="90">
        <v>0</v>
      </c>
      <c r="Q184" s="90">
        <f>SUM(H184:P184)</f>
        <v>523335.56</v>
      </c>
      <c r="R184" s="90">
        <v>4878.5600000000004</v>
      </c>
      <c r="S184" s="90"/>
      <c r="T184" s="90"/>
      <c r="U184" s="90"/>
      <c r="V184" s="90"/>
      <c r="W184" s="90">
        <f>Q184+G184+R184</f>
        <v>1122631.1500000001</v>
      </c>
      <c r="X184" s="90"/>
      <c r="Y184" s="9"/>
    </row>
    <row r="185" spans="1:25" ht="12.75" x14ac:dyDescent="0.2">
      <c r="A185" s="164" t="s">
        <v>42</v>
      </c>
      <c r="B185" s="90">
        <f t="shared" ref="B185:Q185" si="44">B182+B184-B134</f>
        <v>71669.469999999972</v>
      </c>
      <c r="C185" s="90">
        <f t="shared" si="44"/>
        <v>1546418.5999999994</v>
      </c>
      <c r="D185" s="90">
        <f t="shared" si="44"/>
        <v>2193670.8900000006</v>
      </c>
      <c r="E185" s="90">
        <f t="shared" si="44"/>
        <v>1550886.5699999998</v>
      </c>
      <c r="F185" s="90">
        <f t="shared" si="44"/>
        <v>1441535.5899999994</v>
      </c>
      <c r="G185" s="90">
        <f t="shared" si="44"/>
        <v>6804181.120000002</v>
      </c>
      <c r="H185" s="90">
        <f t="shared" si="44"/>
        <v>669494.0500000004</v>
      </c>
      <c r="I185" s="90">
        <f t="shared" si="44"/>
        <v>259522.11000000022</v>
      </c>
      <c r="J185" s="90">
        <f t="shared" si="44"/>
        <v>760463.01</v>
      </c>
      <c r="K185" s="90">
        <f t="shared" si="44"/>
        <v>762081.73</v>
      </c>
      <c r="L185" s="90">
        <f t="shared" si="44"/>
        <v>579617.80000000016</v>
      </c>
      <c r="M185" s="90">
        <f t="shared" si="44"/>
        <v>462984.77000000031</v>
      </c>
      <c r="N185" s="90">
        <f t="shared" si="44"/>
        <v>759357.90000000014</v>
      </c>
      <c r="O185" s="90">
        <f t="shared" si="44"/>
        <v>802618.04</v>
      </c>
      <c r="P185" s="90">
        <f t="shared" si="44"/>
        <v>373144.70000000013</v>
      </c>
      <c r="Q185" s="90">
        <f t="shared" si="44"/>
        <v>5429284.1100000003</v>
      </c>
      <c r="R185" s="90">
        <f>R182+R184-R134</f>
        <v>112684.16</v>
      </c>
      <c r="S185" s="90"/>
      <c r="T185" s="90"/>
      <c r="U185" s="90"/>
      <c r="V185" s="90"/>
      <c r="W185" s="90">
        <f>W182+W184-W134</f>
        <v>12346149.389999997</v>
      </c>
      <c r="X185" s="90">
        <f>W184+X182</f>
        <v>200888661.08999997</v>
      </c>
    </row>
    <row r="186" spans="1:25" ht="12.75" x14ac:dyDescent="0.2">
      <c r="A186" s="19"/>
      <c r="B186" s="52"/>
      <c r="C186" s="52"/>
      <c r="D186" s="52"/>
      <c r="E186" s="52"/>
      <c r="F186" s="52"/>
      <c r="G186" s="52"/>
      <c r="H186" s="52"/>
      <c r="I186" s="52"/>
      <c r="J186" s="52"/>
      <c r="K186" s="52"/>
      <c r="L186" s="52"/>
      <c r="M186" s="52"/>
      <c r="N186" s="52"/>
      <c r="O186" s="52"/>
      <c r="P186" s="52"/>
      <c r="Q186" s="52"/>
      <c r="R186" s="90"/>
      <c r="S186" s="90"/>
      <c r="T186" s="90"/>
      <c r="U186" s="90"/>
      <c r="V186" s="90"/>
      <c r="W186" s="52"/>
      <c r="X186" s="91"/>
    </row>
    <row r="187" spans="1:25" ht="12.75" x14ac:dyDescent="0.2">
      <c r="A187" s="164" t="s">
        <v>51</v>
      </c>
      <c r="B187" s="90">
        <v>0</v>
      </c>
      <c r="C187" s="90">
        <v>114070.2</v>
      </c>
      <c r="D187" s="90">
        <v>169157.76000000001</v>
      </c>
      <c r="E187" s="90">
        <v>12937.23</v>
      </c>
      <c r="F187" s="90">
        <v>104610.72</v>
      </c>
      <c r="G187" s="90">
        <f>SUM(B187:F187)</f>
        <v>400775.91000000003</v>
      </c>
      <c r="H187" s="90">
        <v>91543.3</v>
      </c>
      <c r="I187" s="90">
        <v>24077.66</v>
      </c>
      <c r="J187" s="90">
        <v>5730.93</v>
      </c>
      <c r="K187" s="90">
        <v>6203.3</v>
      </c>
      <c r="L187" s="90">
        <v>0</v>
      </c>
      <c r="M187" s="90">
        <v>35294.83</v>
      </c>
      <c r="N187" s="90">
        <v>50854</v>
      </c>
      <c r="O187" s="90">
        <v>112320.71</v>
      </c>
      <c r="P187" s="90">
        <v>74417.91</v>
      </c>
      <c r="Q187" s="90">
        <f>SUM(H187:P187)</f>
        <v>400442.64</v>
      </c>
      <c r="R187" s="90">
        <v>0</v>
      </c>
      <c r="S187" s="90"/>
      <c r="T187" s="90"/>
      <c r="U187" s="90"/>
      <c r="V187" s="90"/>
      <c r="W187" s="90">
        <f>Q187+G187+R187</f>
        <v>801218.55</v>
      </c>
      <c r="X187" s="90"/>
      <c r="Y187" s="9"/>
    </row>
    <row r="188" spans="1:25" ht="12.75" x14ac:dyDescent="0.2">
      <c r="A188" s="164" t="s">
        <v>42</v>
      </c>
      <c r="B188" s="90">
        <f t="shared" ref="B188:Q188" si="45">B185+B187-B137</f>
        <v>71669.469999999972</v>
      </c>
      <c r="C188" s="90">
        <f t="shared" si="45"/>
        <v>1546498.1599999995</v>
      </c>
      <c r="D188" s="90">
        <f t="shared" si="45"/>
        <v>2121881.6100000003</v>
      </c>
      <c r="E188" s="90">
        <f t="shared" si="45"/>
        <v>1406208.7799999998</v>
      </c>
      <c r="F188" s="90">
        <f t="shared" si="45"/>
        <v>1412977.1499999994</v>
      </c>
      <c r="G188" s="90">
        <f t="shared" si="45"/>
        <v>6559235.1700000018</v>
      </c>
      <c r="H188" s="90">
        <f t="shared" si="45"/>
        <v>724854.38000000047</v>
      </c>
      <c r="I188" s="90">
        <f t="shared" si="45"/>
        <v>283599.77000000019</v>
      </c>
      <c r="J188" s="90">
        <f t="shared" si="45"/>
        <v>709448.62000000011</v>
      </c>
      <c r="K188" s="90">
        <f t="shared" si="45"/>
        <v>710114.39</v>
      </c>
      <c r="L188" s="90">
        <f t="shared" si="45"/>
        <v>579617.80000000016</v>
      </c>
      <c r="M188" s="90">
        <f t="shared" si="45"/>
        <v>456423.89000000031</v>
      </c>
      <c r="N188" s="90">
        <f t="shared" si="45"/>
        <v>753494.70000000019</v>
      </c>
      <c r="O188" s="90">
        <f t="shared" si="45"/>
        <v>901291.47</v>
      </c>
      <c r="P188" s="90">
        <f t="shared" si="45"/>
        <v>447562.6100000001</v>
      </c>
      <c r="Q188" s="90">
        <f t="shared" si="45"/>
        <v>5566407.6299999999</v>
      </c>
      <c r="R188" s="90">
        <f>R185+R187-R137</f>
        <v>112684.16</v>
      </c>
      <c r="S188" s="90"/>
      <c r="T188" s="90"/>
      <c r="U188" s="90"/>
      <c r="V188" s="90"/>
      <c r="W188" s="90">
        <f>W185+W187-W137</f>
        <v>12238326.959999997</v>
      </c>
      <c r="X188" s="90">
        <f>W187+X185</f>
        <v>201689879.63999999</v>
      </c>
    </row>
    <row r="189" spans="1:25" ht="12.75" x14ac:dyDescent="0.2">
      <c r="A189" s="19"/>
      <c r="B189" s="91"/>
      <c r="C189" s="91"/>
      <c r="D189" s="91"/>
      <c r="E189" s="91"/>
      <c r="F189" s="91"/>
      <c r="G189" s="91"/>
      <c r="H189" s="91"/>
      <c r="I189" s="91"/>
      <c r="J189" s="91"/>
      <c r="K189" s="91"/>
      <c r="L189" s="91"/>
      <c r="M189" s="91"/>
      <c r="N189" s="91"/>
      <c r="O189" s="91"/>
      <c r="P189" s="91"/>
      <c r="Q189" s="91"/>
      <c r="R189" s="90"/>
      <c r="S189" s="90"/>
      <c r="T189" s="90"/>
      <c r="U189" s="90"/>
      <c r="V189" s="90"/>
      <c r="W189" s="91"/>
      <c r="X189" s="91"/>
    </row>
    <row r="190" spans="1:25" ht="12.75" x14ac:dyDescent="0.2">
      <c r="A190" s="164" t="s">
        <v>52</v>
      </c>
      <c r="B190" s="90">
        <v>0</v>
      </c>
      <c r="C190" s="90">
        <v>94594.8</v>
      </c>
      <c r="D190" s="90">
        <v>138553.56</v>
      </c>
      <c r="E190" s="90">
        <v>43819.65</v>
      </c>
      <c r="F190" s="90">
        <v>103497.84</v>
      </c>
      <c r="G190" s="90">
        <f>SUM(B190:F190)</f>
        <v>380465.85</v>
      </c>
      <c r="H190" s="90">
        <v>35780.879999999997</v>
      </c>
      <c r="I190" s="90">
        <v>0</v>
      </c>
      <c r="J190" s="90">
        <v>0</v>
      </c>
      <c r="K190" s="90">
        <v>0</v>
      </c>
      <c r="L190" s="90">
        <v>0</v>
      </c>
      <c r="M190" s="90">
        <v>13027.17</v>
      </c>
      <c r="N190" s="90">
        <v>50359.61</v>
      </c>
      <c r="O190" s="90">
        <v>39650.67</v>
      </c>
      <c r="P190" s="90">
        <v>84500.2</v>
      </c>
      <c r="Q190" s="90">
        <f>SUM(H190:P190)</f>
        <v>223318.53000000003</v>
      </c>
      <c r="R190" s="90">
        <v>0</v>
      </c>
      <c r="S190" s="90"/>
      <c r="T190" s="90"/>
      <c r="U190" s="90"/>
      <c r="V190" s="90"/>
      <c r="W190" s="90">
        <f>Q190+G190+R190</f>
        <v>603784.38</v>
      </c>
      <c r="X190" s="90"/>
      <c r="Y190" s="9"/>
    </row>
    <row r="191" spans="1:25" ht="12.75" x14ac:dyDescent="0.2">
      <c r="A191" s="164" t="s">
        <v>42</v>
      </c>
      <c r="B191" s="90">
        <f t="shared" ref="B191:Q191" si="46">B188+B190-B140</f>
        <v>71669.469999999972</v>
      </c>
      <c r="C191" s="90">
        <f t="shared" si="46"/>
        <v>1530073.6399999994</v>
      </c>
      <c r="D191" s="90">
        <f t="shared" si="46"/>
        <v>2057304.9300000004</v>
      </c>
      <c r="E191" s="90">
        <f t="shared" si="46"/>
        <v>1310646.5099999998</v>
      </c>
      <c r="F191" s="90">
        <f t="shared" si="46"/>
        <v>1382495.4699999995</v>
      </c>
      <c r="G191" s="90">
        <f t="shared" si="46"/>
        <v>6352190.0200000014</v>
      </c>
      <c r="H191" s="90">
        <f t="shared" si="46"/>
        <v>760635.26000000047</v>
      </c>
      <c r="I191" s="90">
        <f t="shared" si="46"/>
        <v>283599.77000000019</v>
      </c>
      <c r="J191" s="90">
        <f t="shared" si="46"/>
        <v>648490.90000000014</v>
      </c>
      <c r="K191" s="90">
        <f t="shared" si="46"/>
        <v>650790.13</v>
      </c>
      <c r="L191" s="90">
        <f t="shared" si="46"/>
        <v>579617.80000000016</v>
      </c>
      <c r="M191" s="90">
        <f t="shared" si="46"/>
        <v>435589.69000000029</v>
      </c>
      <c r="N191" s="90">
        <f t="shared" si="46"/>
        <v>748632.77000000014</v>
      </c>
      <c r="O191" s="90">
        <f t="shared" si="46"/>
        <v>919780.73</v>
      </c>
      <c r="P191" s="90">
        <f t="shared" si="46"/>
        <v>532062.81000000006</v>
      </c>
      <c r="Q191" s="90">
        <f t="shared" si="46"/>
        <v>5559199.8600000003</v>
      </c>
      <c r="R191" s="90">
        <f>R188+R190-R140</f>
        <v>112684.16</v>
      </c>
      <c r="S191" s="90"/>
      <c r="T191" s="90"/>
      <c r="U191" s="90"/>
      <c r="V191" s="90"/>
      <c r="W191" s="90">
        <f>W188+W190-W140</f>
        <v>12024074.039999997</v>
      </c>
      <c r="X191" s="90">
        <f>W190+X188</f>
        <v>202293664.01999998</v>
      </c>
    </row>
    <row r="192" spans="1:25" ht="12.75" x14ac:dyDescent="0.2">
      <c r="A192" s="19"/>
      <c r="B192" s="52"/>
      <c r="C192" s="52"/>
      <c r="D192" s="52"/>
      <c r="E192" s="52"/>
      <c r="F192" s="52"/>
      <c r="G192" s="52"/>
      <c r="H192" s="52"/>
      <c r="I192" s="52"/>
      <c r="J192" s="52"/>
      <c r="K192" s="52"/>
      <c r="L192" s="52"/>
      <c r="M192" s="52"/>
      <c r="N192" s="52"/>
      <c r="O192" s="52"/>
      <c r="P192" s="52"/>
      <c r="Q192" s="52"/>
      <c r="R192" s="52"/>
      <c r="S192" s="52"/>
      <c r="T192" s="52"/>
      <c r="U192" s="52"/>
      <c r="V192" s="52"/>
      <c r="W192" s="52"/>
      <c r="X192" s="91"/>
    </row>
    <row r="193" spans="1:25" ht="12.75" x14ac:dyDescent="0.2">
      <c r="A193" s="164" t="s">
        <v>53</v>
      </c>
      <c r="B193" s="90">
        <v>0</v>
      </c>
      <c r="C193" s="90">
        <v>115183.08</v>
      </c>
      <c r="D193" s="90">
        <v>110731.56</v>
      </c>
      <c r="E193" s="90">
        <v>143144.19</v>
      </c>
      <c r="F193" s="90">
        <v>74284.740000000005</v>
      </c>
      <c r="G193" s="90">
        <f>SUM(B193:F193)</f>
        <v>443343.57</v>
      </c>
      <c r="H193" s="90">
        <v>59104.45</v>
      </c>
      <c r="I193" s="90">
        <v>40640.449999999997</v>
      </c>
      <c r="J193" s="90">
        <v>64986.16</v>
      </c>
      <c r="K193" s="90">
        <v>63016.27</v>
      </c>
      <c r="L193" s="90">
        <v>0</v>
      </c>
      <c r="M193" s="90">
        <v>20640.37</v>
      </c>
      <c r="N193" s="90">
        <v>49225.65</v>
      </c>
      <c r="O193" s="90">
        <v>20403.28</v>
      </c>
      <c r="P193" s="90">
        <v>20235.91</v>
      </c>
      <c r="Q193" s="90">
        <f>SUM(H193:P193)</f>
        <v>338252.54</v>
      </c>
      <c r="R193" s="90">
        <v>0</v>
      </c>
      <c r="S193" s="90"/>
      <c r="T193" s="90"/>
      <c r="U193" s="90"/>
      <c r="V193" s="90"/>
      <c r="W193" s="90">
        <f>Q193+G193+R193</f>
        <v>781596.11</v>
      </c>
      <c r="X193" s="90"/>
    </row>
    <row r="194" spans="1:25" ht="12.75" x14ac:dyDescent="0.2">
      <c r="A194" s="164" t="s">
        <v>42</v>
      </c>
      <c r="B194" s="90">
        <f t="shared" ref="B194:Q194" si="47">B191+B193-B143</f>
        <v>71669.469999999972</v>
      </c>
      <c r="C194" s="90">
        <f t="shared" si="47"/>
        <v>1519380.7999999996</v>
      </c>
      <c r="D194" s="90">
        <f t="shared" si="47"/>
        <v>1997320.6500000001</v>
      </c>
      <c r="E194" s="90">
        <f t="shared" si="47"/>
        <v>1398686.2199999997</v>
      </c>
      <c r="F194" s="90">
        <f t="shared" si="47"/>
        <v>1318748.8899999994</v>
      </c>
      <c r="G194" s="90">
        <f t="shared" si="47"/>
        <v>6305806.0300000021</v>
      </c>
      <c r="H194" s="90">
        <f t="shared" si="47"/>
        <v>789094.13000000047</v>
      </c>
      <c r="I194" s="90">
        <f t="shared" si="47"/>
        <v>324240.2200000002</v>
      </c>
      <c r="J194" s="90">
        <f t="shared" si="47"/>
        <v>639559.00000000023</v>
      </c>
      <c r="K194" s="90">
        <f t="shared" si="47"/>
        <v>644578.71</v>
      </c>
      <c r="L194" s="90">
        <f t="shared" si="47"/>
        <v>579617.80000000016</v>
      </c>
      <c r="M194" s="90">
        <f t="shared" si="47"/>
        <v>428140.50000000029</v>
      </c>
      <c r="N194" s="90">
        <f t="shared" si="47"/>
        <v>738952.12000000011</v>
      </c>
      <c r="O194" s="90">
        <f t="shared" si="47"/>
        <v>940184.01</v>
      </c>
      <c r="P194" s="90">
        <f t="shared" si="47"/>
        <v>552298.72000000009</v>
      </c>
      <c r="Q194" s="90">
        <f t="shared" si="47"/>
        <v>5636665.21</v>
      </c>
      <c r="R194" s="90">
        <f>R191+R193-R143</f>
        <v>112684.16</v>
      </c>
      <c r="S194" s="90"/>
      <c r="T194" s="90"/>
      <c r="U194" s="90"/>
      <c r="V194" s="90"/>
      <c r="W194" s="90">
        <f>W191+W193-W143</f>
        <v>12055155.399999997</v>
      </c>
      <c r="X194" s="90">
        <f>W193+X191</f>
        <v>203075260.13</v>
      </c>
    </row>
    <row r="195" spans="1:25" ht="12.75" x14ac:dyDescent="0.2">
      <c r="A195" s="52"/>
      <c r="B195" s="52"/>
      <c r="C195" s="52"/>
      <c r="D195" s="52"/>
      <c r="E195" s="52"/>
      <c r="F195" s="52"/>
      <c r="G195" s="52"/>
      <c r="H195" s="52"/>
      <c r="I195" s="52"/>
      <c r="J195" s="52"/>
      <c r="K195" s="52"/>
      <c r="L195" s="52"/>
      <c r="M195" s="52"/>
      <c r="N195" s="52"/>
      <c r="O195" s="52"/>
      <c r="P195" s="52"/>
      <c r="Q195" s="52"/>
      <c r="R195" s="52"/>
      <c r="S195" s="52"/>
      <c r="T195" s="52"/>
      <c r="U195" s="52"/>
      <c r="V195" s="52"/>
      <c r="W195" s="91"/>
      <c r="X195" s="91"/>
    </row>
    <row r="196" spans="1:25" x14ac:dyDescent="0.2">
      <c r="W196" s="9"/>
      <c r="X196" s="9"/>
    </row>
    <row r="197" spans="1:25" x14ac:dyDescent="0.2">
      <c r="X197" s="9"/>
    </row>
    <row r="198" spans="1:25" x14ac:dyDescent="0.2">
      <c r="X198" s="9"/>
    </row>
    <row r="199" spans="1:25" x14ac:dyDescent="0.2">
      <c r="X199" s="9"/>
    </row>
    <row r="200" spans="1:25" x14ac:dyDescent="0.2">
      <c r="A200" s="3" t="s">
        <v>54</v>
      </c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W200" s="2"/>
      <c r="X200" s="2"/>
    </row>
    <row r="201" spans="1:25" x14ac:dyDescent="0.2"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W201" s="2"/>
      <c r="X201" s="2"/>
    </row>
    <row r="202" spans="1:25" ht="12.75" x14ac:dyDescent="0.2">
      <c r="A202" s="52"/>
      <c r="B202" s="90"/>
      <c r="C202" s="148" t="s">
        <v>64</v>
      </c>
      <c r="D202"/>
      <c r="E202" s="145"/>
      <c r="F202" s="145"/>
      <c r="G202" s="145"/>
      <c r="H202" s="145"/>
      <c r="I202" s="145"/>
      <c r="J202" s="90"/>
      <c r="K202" s="156">
        <f ca="1">NOW()</f>
        <v>42312.648458217591</v>
      </c>
      <c r="L202" s="157">
        <f ca="1">NOW()</f>
        <v>42312.648458217591</v>
      </c>
      <c r="M202" s="149"/>
      <c r="N202" s="154" t="s">
        <v>65</v>
      </c>
      <c r="O202" s="90"/>
      <c r="P202" s="90"/>
      <c r="Q202" s="90"/>
      <c r="R202" s="52"/>
      <c r="S202" s="52"/>
      <c r="T202" s="52"/>
      <c r="U202" s="52"/>
      <c r="V202" s="52"/>
      <c r="W202" s="90"/>
      <c r="X202" s="90"/>
    </row>
    <row r="203" spans="1:25" ht="12.75" x14ac:dyDescent="0.2">
      <c r="A203" s="52"/>
      <c r="B203" s="90"/>
      <c r="C203" s="90"/>
      <c r="D203" s="146"/>
      <c r="E203" s="90"/>
      <c r="F203" s="146"/>
      <c r="G203" s="90"/>
      <c r="H203" s="146"/>
      <c r="I203" s="146"/>
      <c r="J203" s="90"/>
      <c r="K203" s="90"/>
      <c r="L203" s="90"/>
      <c r="M203" s="90"/>
      <c r="N203" s="146" t="s">
        <v>60</v>
      </c>
      <c r="O203" s="90"/>
      <c r="P203" s="90"/>
      <c r="Q203" s="90"/>
      <c r="R203" s="52"/>
      <c r="S203" s="52"/>
      <c r="T203" s="52"/>
      <c r="U203" s="52"/>
      <c r="V203" s="52"/>
      <c r="W203" s="90"/>
      <c r="X203" s="90"/>
    </row>
    <row r="204" spans="1:25" s="151" customFormat="1" ht="12.75" x14ac:dyDescent="0.2">
      <c r="A204" s="21"/>
      <c r="B204" s="149"/>
      <c r="C204" s="149"/>
      <c r="D204" s="149"/>
      <c r="E204" s="149"/>
      <c r="F204" s="150" t="s">
        <v>6</v>
      </c>
      <c r="G204" s="149"/>
      <c r="H204" s="149"/>
      <c r="I204" s="149"/>
      <c r="J204" s="149"/>
      <c r="K204" s="149"/>
      <c r="L204" s="149"/>
      <c r="M204" s="149"/>
      <c r="N204" s="149"/>
      <c r="O204" s="149"/>
      <c r="P204" s="149"/>
      <c r="Q204" s="149"/>
      <c r="R204" s="21"/>
      <c r="S204" s="21"/>
      <c r="T204" s="21"/>
      <c r="U204" s="21"/>
      <c r="V204" s="21"/>
      <c r="W204" s="149"/>
      <c r="X204" s="149"/>
    </row>
    <row r="205" spans="1:25" s="151" customFormat="1" ht="12.75" x14ac:dyDescent="0.2">
      <c r="A205" s="21"/>
      <c r="B205" s="149"/>
      <c r="C205" s="149"/>
      <c r="D205" s="149"/>
      <c r="E205" s="149"/>
      <c r="F205" s="149"/>
      <c r="G205" s="149"/>
      <c r="H205" s="149"/>
      <c r="I205" s="149"/>
      <c r="J205" s="149"/>
      <c r="K205" s="149"/>
      <c r="L205" s="149"/>
      <c r="M205" s="149"/>
      <c r="N205" s="149"/>
      <c r="O205" s="149"/>
      <c r="P205" s="149"/>
      <c r="Q205" s="149"/>
      <c r="R205" s="21"/>
      <c r="S205" s="21"/>
      <c r="T205" s="21"/>
      <c r="U205" s="21"/>
      <c r="V205" s="21"/>
      <c r="W205" s="149"/>
      <c r="X205" s="152" t="s">
        <v>7</v>
      </c>
    </row>
    <row r="206" spans="1:25" s="151" customFormat="1" ht="12.75" x14ac:dyDescent="0.2">
      <c r="A206" s="21"/>
      <c r="B206" s="150" t="s">
        <v>8</v>
      </c>
      <c r="C206" s="21"/>
      <c r="D206" s="21"/>
      <c r="E206" s="21"/>
      <c r="F206" s="21"/>
      <c r="G206" s="21"/>
      <c r="H206" s="150" t="s">
        <v>9</v>
      </c>
      <c r="I206" s="21"/>
      <c r="J206" s="21"/>
      <c r="K206" s="21"/>
      <c r="L206" s="21"/>
      <c r="M206" s="21"/>
      <c r="N206" s="21"/>
      <c r="O206" s="21"/>
      <c r="P206" s="21"/>
      <c r="Q206" s="149"/>
      <c r="R206" s="21"/>
      <c r="S206" s="21"/>
      <c r="T206" s="21"/>
      <c r="U206" s="21"/>
      <c r="V206" s="21"/>
      <c r="W206" s="149"/>
      <c r="X206" s="152" t="s">
        <v>10</v>
      </c>
    </row>
    <row r="207" spans="1:25" s="151" customFormat="1" ht="12.75" x14ac:dyDescent="0.2">
      <c r="A207" s="21"/>
      <c r="B207" s="152" t="s">
        <v>11</v>
      </c>
      <c r="C207" s="152" t="s">
        <v>12</v>
      </c>
      <c r="D207" s="152" t="s">
        <v>13</v>
      </c>
      <c r="E207" s="152" t="s">
        <v>14</v>
      </c>
      <c r="F207" s="152" t="s">
        <v>15</v>
      </c>
      <c r="G207" s="152" t="s">
        <v>16</v>
      </c>
      <c r="H207" s="152" t="s">
        <v>17</v>
      </c>
      <c r="I207" s="149"/>
      <c r="J207" s="149"/>
      <c r="K207" s="149"/>
      <c r="L207" s="149"/>
      <c r="M207" s="152" t="s">
        <v>18</v>
      </c>
      <c r="N207" s="152" t="s">
        <v>19</v>
      </c>
      <c r="O207" s="152" t="s">
        <v>20</v>
      </c>
      <c r="P207" s="152" t="s">
        <v>21</v>
      </c>
      <c r="Q207" s="152" t="s">
        <v>16</v>
      </c>
      <c r="R207" s="150" t="s">
        <v>61</v>
      </c>
      <c r="S207" s="150"/>
      <c r="T207" s="150"/>
      <c r="U207" s="150"/>
      <c r="V207" s="150"/>
      <c r="W207" s="152" t="s">
        <v>7</v>
      </c>
      <c r="X207" s="152" t="s">
        <v>22</v>
      </c>
    </row>
    <row r="208" spans="1:25" s="151" customFormat="1" ht="12.75" x14ac:dyDescent="0.2">
      <c r="A208" s="21"/>
      <c r="B208" s="152" t="s">
        <v>23</v>
      </c>
      <c r="C208" s="152" t="s">
        <v>24</v>
      </c>
      <c r="D208" s="152" t="s">
        <v>25</v>
      </c>
      <c r="E208" s="152" t="s">
        <v>26</v>
      </c>
      <c r="F208" s="152" t="s">
        <v>27</v>
      </c>
      <c r="G208" s="152" t="s">
        <v>28</v>
      </c>
      <c r="H208" s="152" t="s">
        <v>29</v>
      </c>
      <c r="I208" s="152" t="s">
        <v>30</v>
      </c>
      <c r="J208" s="152" t="s">
        <v>31</v>
      </c>
      <c r="K208" s="152" t="s">
        <v>32</v>
      </c>
      <c r="L208" s="152" t="s">
        <v>33</v>
      </c>
      <c r="M208" s="152" t="s">
        <v>34</v>
      </c>
      <c r="N208" s="152" t="s">
        <v>35</v>
      </c>
      <c r="O208" s="152" t="s">
        <v>36</v>
      </c>
      <c r="P208" s="152" t="s">
        <v>37</v>
      </c>
      <c r="Q208" s="152" t="s">
        <v>28</v>
      </c>
      <c r="R208" s="150" t="s">
        <v>62</v>
      </c>
      <c r="S208" s="150"/>
      <c r="T208" s="150"/>
      <c r="U208" s="150"/>
      <c r="V208" s="150"/>
      <c r="W208" s="152" t="s">
        <v>10</v>
      </c>
      <c r="X208" s="152" t="s">
        <v>38</v>
      </c>
      <c r="Y208" s="153"/>
    </row>
    <row r="209" spans="1:25" s="151" customFormat="1" ht="12.75" x14ac:dyDescent="0.2">
      <c r="A209" s="21"/>
      <c r="B209" s="152" t="s">
        <v>39</v>
      </c>
      <c r="C209" s="152" t="s">
        <v>40</v>
      </c>
      <c r="D209" s="152" t="s">
        <v>40</v>
      </c>
      <c r="E209" s="152" t="s">
        <v>40</v>
      </c>
      <c r="F209" s="152" t="s">
        <v>40</v>
      </c>
      <c r="G209" s="152" t="s">
        <v>40</v>
      </c>
      <c r="H209" s="152" t="s">
        <v>40</v>
      </c>
      <c r="I209" s="152" t="s">
        <v>40</v>
      </c>
      <c r="J209" s="152" t="s">
        <v>40</v>
      </c>
      <c r="K209" s="152" t="s">
        <v>40</v>
      </c>
      <c r="L209" s="152" t="s">
        <v>40</v>
      </c>
      <c r="M209" s="152" t="s">
        <v>40</v>
      </c>
      <c r="N209" s="152" t="s">
        <v>40</v>
      </c>
      <c r="O209" s="152" t="s">
        <v>40</v>
      </c>
      <c r="P209" s="152" t="s">
        <v>40</v>
      </c>
      <c r="Q209" s="152" t="s">
        <v>40</v>
      </c>
      <c r="R209" s="154" t="s">
        <v>63</v>
      </c>
      <c r="S209" s="154"/>
      <c r="T209" s="154"/>
      <c r="U209" s="154"/>
      <c r="V209" s="154"/>
      <c r="W209" s="152" t="s">
        <v>40</v>
      </c>
      <c r="X209" s="152" t="s">
        <v>40</v>
      </c>
    </row>
    <row r="210" spans="1:25" ht="12.75" x14ac:dyDescent="0.2">
      <c r="A210" s="155" t="s">
        <v>41</v>
      </c>
      <c r="B210" s="90">
        <v>0</v>
      </c>
      <c r="C210" s="90">
        <v>131760</v>
      </c>
      <c r="D210" s="90">
        <v>33120</v>
      </c>
      <c r="E210" s="90">
        <v>0</v>
      </c>
      <c r="F210" s="90">
        <v>33840</v>
      </c>
      <c r="G210" s="90">
        <f>SUM(B210:F210)</f>
        <v>198720</v>
      </c>
      <c r="H210" s="90">
        <v>0</v>
      </c>
      <c r="I210" s="90">
        <v>0</v>
      </c>
      <c r="J210" s="90">
        <v>59452.37</v>
      </c>
      <c r="K210" s="90">
        <v>54592.02</v>
      </c>
      <c r="L210" s="90">
        <v>0</v>
      </c>
      <c r="M210" s="90">
        <v>0</v>
      </c>
      <c r="N210" s="90">
        <v>28720.49</v>
      </c>
      <c r="O210" s="90">
        <v>34065.370000000003</v>
      </c>
      <c r="P210" s="90">
        <v>0</v>
      </c>
      <c r="Q210" s="90">
        <f>SUM(H210:P210)</f>
        <v>176830.25</v>
      </c>
      <c r="R210" s="118">
        <v>0</v>
      </c>
      <c r="S210" s="118"/>
      <c r="T210" s="118"/>
      <c r="U210" s="118"/>
      <c r="V210" s="118"/>
      <c r="W210" s="90">
        <f>Q210+G210+R210</f>
        <v>375550.25</v>
      </c>
      <c r="X210" s="90"/>
    </row>
    <row r="211" spans="1:25" ht="12.75" x14ac:dyDescent="0.2">
      <c r="A211" s="155" t="s">
        <v>42</v>
      </c>
      <c r="B211" s="90">
        <f t="shared" ref="B211:P211" si="48">B210+B194-B160</f>
        <v>71669.469999999972</v>
      </c>
      <c r="C211" s="90">
        <f t="shared" si="48"/>
        <v>1540965.6799999997</v>
      </c>
      <c r="D211" s="90">
        <f t="shared" si="48"/>
        <v>1880201.85</v>
      </c>
      <c r="E211" s="90">
        <f t="shared" si="48"/>
        <v>1386583.6499999997</v>
      </c>
      <c r="F211" s="90">
        <f t="shared" si="48"/>
        <v>1213757.1099999994</v>
      </c>
      <c r="G211" s="90">
        <f t="shared" si="48"/>
        <v>6093177.7600000016</v>
      </c>
      <c r="H211" s="90">
        <f t="shared" si="48"/>
        <v>779760.92000000051</v>
      </c>
      <c r="I211" s="90">
        <f t="shared" si="48"/>
        <v>324240.2200000002</v>
      </c>
      <c r="J211" s="90">
        <f t="shared" si="48"/>
        <v>642328.77000000025</v>
      </c>
      <c r="K211" s="90">
        <f t="shared" si="48"/>
        <v>644859.07999999996</v>
      </c>
      <c r="L211" s="90">
        <f t="shared" si="48"/>
        <v>579617.80000000016</v>
      </c>
      <c r="M211" s="90">
        <f t="shared" si="48"/>
        <v>400558.12000000029</v>
      </c>
      <c r="N211" s="90">
        <f t="shared" si="48"/>
        <v>716494.68</v>
      </c>
      <c r="O211" s="90">
        <f t="shared" si="48"/>
        <v>969342.78</v>
      </c>
      <c r="P211" s="90">
        <f t="shared" si="48"/>
        <v>513793.83000000007</v>
      </c>
      <c r="Q211" s="90">
        <f>Q194+Q210-Q160</f>
        <v>5570996.2000000002</v>
      </c>
      <c r="R211" s="90">
        <f>R194+R210-R160</f>
        <v>112684.16</v>
      </c>
      <c r="S211" s="90"/>
      <c r="T211" s="90"/>
      <c r="U211" s="90"/>
      <c r="V211" s="90"/>
      <c r="W211" s="90">
        <f>W194+W210-W160</f>
        <v>11776858.119999997</v>
      </c>
      <c r="X211" s="90">
        <f>W210+X194</f>
        <v>203450810.38</v>
      </c>
      <c r="Y211" s="9"/>
    </row>
    <row r="212" spans="1:25" ht="12.75" x14ac:dyDescent="0.2">
      <c r="A212" s="21"/>
      <c r="B212" s="90"/>
      <c r="C212" s="90"/>
      <c r="D212" s="90"/>
      <c r="E212" s="90"/>
      <c r="F212" s="90"/>
      <c r="G212" s="90"/>
      <c r="H212" s="90"/>
      <c r="I212" s="90"/>
      <c r="J212" s="90"/>
      <c r="K212" s="90"/>
      <c r="L212" s="90"/>
      <c r="M212" s="90"/>
      <c r="N212" s="90"/>
      <c r="O212" s="90"/>
      <c r="P212" s="90"/>
      <c r="Q212" s="90"/>
      <c r="R212" s="52"/>
      <c r="S212" s="52"/>
      <c r="T212" s="52"/>
      <c r="U212" s="52"/>
      <c r="V212" s="52"/>
      <c r="W212" s="90"/>
      <c r="X212" s="90"/>
    </row>
    <row r="213" spans="1:25" ht="12.75" x14ac:dyDescent="0.2">
      <c r="A213" s="155" t="s">
        <v>43</v>
      </c>
      <c r="B213" s="90">
        <v>0</v>
      </c>
      <c r="C213" s="90">
        <v>128160</v>
      </c>
      <c r="D213" s="90">
        <v>5760</v>
      </c>
      <c r="E213" s="90">
        <v>0</v>
      </c>
      <c r="F213" s="90">
        <v>38160</v>
      </c>
      <c r="G213" s="90">
        <f>SUM(B213:F213)</f>
        <v>172080</v>
      </c>
      <c r="H213" s="90">
        <v>0</v>
      </c>
      <c r="I213" s="90">
        <v>0</v>
      </c>
      <c r="J213" s="90">
        <v>54899.55</v>
      </c>
      <c r="K213" s="90">
        <v>51720.09</v>
      </c>
      <c r="L213" s="90">
        <v>0</v>
      </c>
      <c r="M213" s="90">
        <v>0</v>
      </c>
      <c r="N213" s="90">
        <v>43774.95</v>
      </c>
      <c r="O213" s="90">
        <v>41867.86</v>
      </c>
      <c r="P213" s="90">
        <v>0</v>
      </c>
      <c r="Q213" s="90">
        <f>SUM(H213:P213)</f>
        <v>192262.45</v>
      </c>
      <c r="R213" s="118">
        <v>0</v>
      </c>
      <c r="S213" s="118"/>
      <c r="T213" s="118"/>
      <c r="U213" s="118"/>
      <c r="V213" s="118"/>
      <c r="W213" s="90">
        <f>Q213+G213+R213</f>
        <v>364342.45</v>
      </c>
      <c r="X213" s="90"/>
      <c r="Y213" s="9"/>
    </row>
    <row r="214" spans="1:25" ht="12.75" x14ac:dyDescent="0.2">
      <c r="A214" s="155" t="s">
        <v>42</v>
      </c>
      <c r="B214" s="90">
        <f t="shared" ref="B214:Q214" si="49">B211+B213-B163</f>
        <v>65659.919999999969</v>
      </c>
      <c r="C214" s="90">
        <f t="shared" si="49"/>
        <v>1564793.1799999997</v>
      </c>
      <c r="D214" s="90">
        <f t="shared" si="49"/>
        <v>1775786.73</v>
      </c>
      <c r="E214" s="90">
        <f t="shared" si="49"/>
        <v>1386583.6499999997</v>
      </c>
      <c r="F214" s="90">
        <f t="shared" si="49"/>
        <v>1148697.4899999993</v>
      </c>
      <c r="G214" s="90">
        <f t="shared" si="49"/>
        <v>5941520.9700000016</v>
      </c>
      <c r="H214" s="90">
        <f t="shared" si="49"/>
        <v>774223.37000000046</v>
      </c>
      <c r="I214" s="90">
        <f t="shared" si="49"/>
        <v>324240.2200000002</v>
      </c>
      <c r="J214" s="90">
        <f t="shared" si="49"/>
        <v>637533.15000000026</v>
      </c>
      <c r="K214" s="90">
        <f t="shared" si="49"/>
        <v>637849.24999999988</v>
      </c>
      <c r="L214" s="90">
        <f t="shared" si="49"/>
        <v>579617.80000000016</v>
      </c>
      <c r="M214" s="90">
        <f t="shared" si="49"/>
        <v>392971.62000000029</v>
      </c>
      <c r="N214" s="90">
        <f t="shared" si="49"/>
        <v>710763.69</v>
      </c>
      <c r="O214" s="90">
        <f t="shared" si="49"/>
        <v>1011210.64</v>
      </c>
      <c r="P214" s="90">
        <f t="shared" si="49"/>
        <v>513793.83000000007</v>
      </c>
      <c r="Q214" s="90">
        <f t="shared" si="49"/>
        <v>5582203.5700000003</v>
      </c>
      <c r="R214" s="90">
        <f>R211+R213-R163</f>
        <v>112684.16</v>
      </c>
      <c r="S214" s="90"/>
      <c r="T214" s="90"/>
      <c r="U214" s="90"/>
      <c r="V214" s="90"/>
      <c r="W214" s="90">
        <f>W211+W213-W163</f>
        <v>11636408.699999997</v>
      </c>
      <c r="X214" s="90">
        <f>W213+X211</f>
        <v>203815152.82999998</v>
      </c>
      <c r="Y214" s="9"/>
    </row>
    <row r="215" spans="1:25" ht="12.75" x14ac:dyDescent="0.2">
      <c r="A215" s="21"/>
      <c r="B215" s="91"/>
      <c r="C215" s="91"/>
      <c r="D215" s="91"/>
      <c r="E215" s="91"/>
      <c r="F215" s="91"/>
      <c r="G215" s="91"/>
      <c r="H215" s="91"/>
      <c r="I215" s="91"/>
      <c r="J215" s="91"/>
      <c r="K215" s="91"/>
      <c r="L215" s="91"/>
      <c r="M215" s="91"/>
      <c r="N215" s="91"/>
      <c r="O215" s="91"/>
      <c r="P215" s="91"/>
      <c r="Q215" s="91"/>
      <c r="R215" s="52"/>
      <c r="S215" s="52"/>
      <c r="T215" s="52"/>
      <c r="U215" s="52"/>
      <c r="V215" s="52"/>
      <c r="W215" s="91"/>
      <c r="X215" s="91"/>
    </row>
    <row r="216" spans="1:25" ht="12.75" x14ac:dyDescent="0.2">
      <c r="A216" s="155" t="s">
        <v>44</v>
      </c>
      <c r="B216" s="90">
        <v>0</v>
      </c>
      <c r="C216" s="90">
        <v>138480</v>
      </c>
      <c r="D216" s="90">
        <v>0</v>
      </c>
      <c r="E216" s="90">
        <v>0</v>
      </c>
      <c r="F216" s="90">
        <v>53760</v>
      </c>
      <c r="G216" s="90">
        <f>SUM(B216:F216)</f>
        <v>192240</v>
      </c>
      <c r="H216" s="90">
        <v>0</v>
      </c>
      <c r="I216" s="90">
        <v>0</v>
      </c>
      <c r="J216" s="90">
        <v>65248.97</v>
      </c>
      <c r="K216" s="90">
        <v>62748.800000000003</v>
      </c>
      <c r="L216" s="90">
        <v>0</v>
      </c>
      <c r="M216" s="90">
        <v>0</v>
      </c>
      <c r="N216" s="90">
        <v>51374.83</v>
      </c>
      <c r="O216" s="90">
        <v>0</v>
      </c>
      <c r="P216" s="90">
        <v>0</v>
      </c>
      <c r="Q216" s="90">
        <f>SUM(H216:P216)</f>
        <v>179372.6</v>
      </c>
      <c r="R216" s="118">
        <v>0</v>
      </c>
      <c r="S216" s="118"/>
      <c r="T216" s="118"/>
      <c r="U216" s="118"/>
      <c r="V216" s="118"/>
      <c r="W216" s="90">
        <f>Q216+G216+R216</f>
        <v>371612.6</v>
      </c>
      <c r="X216" s="90"/>
    </row>
    <row r="217" spans="1:25" ht="12.75" x14ac:dyDescent="0.2">
      <c r="A217" s="155" t="s">
        <v>42</v>
      </c>
      <c r="B217" s="90">
        <f t="shared" ref="B217:Q217" si="50">B214+B216-B166</f>
        <v>47408.689999999973</v>
      </c>
      <c r="C217" s="90">
        <f t="shared" si="50"/>
        <v>1607565.4999999998</v>
      </c>
      <c r="D217" s="90">
        <f t="shared" si="50"/>
        <v>1656708.57</v>
      </c>
      <c r="E217" s="90">
        <f t="shared" si="50"/>
        <v>1379071.7099999997</v>
      </c>
      <c r="F217" s="90">
        <f t="shared" si="50"/>
        <v>1087552.6299999992</v>
      </c>
      <c r="G217" s="90">
        <f t="shared" si="50"/>
        <v>5778307.1000000015</v>
      </c>
      <c r="H217" s="90">
        <f t="shared" si="50"/>
        <v>702711.82000000041</v>
      </c>
      <c r="I217" s="90">
        <f t="shared" si="50"/>
        <v>308128.31000000023</v>
      </c>
      <c r="J217" s="90">
        <f t="shared" si="50"/>
        <v>669797.03000000026</v>
      </c>
      <c r="K217" s="90">
        <f t="shared" si="50"/>
        <v>656409.25999999989</v>
      </c>
      <c r="L217" s="90">
        <f t="shared" si="50"/>
        <v>579617.80000000016</v>
      </c>
      <c r="M217" s="90">
        <f t="shared" si="50"/>
        <v>358533.66000000027</v>
      </c>
      <c r="N217" s="90">
        <f t="shared" si="50"/>
        <v>710177.34999999986</v>
      </c>
      <c r="O217" s="90">
        <f t="shared" si="50"/>
        <v>999435.86</v>
      </c>
      <c r="P217" s="90">
        <f t="shared" si="50"/>
        <v>472577.78000000009</v>
      </c>
      <c r="Q217" s="90">
        <f t="shared" si="50"/>
        <v>5457388.8700000001</v>
      </c>
      <c r="R217" s="90">
        <f>R214+R216-R166</f>
        <v>112684.16</v>
      </c>
      <c r="S217" s="90"/>
      <c r="T217" s="90"/>
      <c r="U217" s="90"/>
      <c r="V217" s="90"/>
      <c r="W217" s="90">
        <f>W214+W216-W166</f>
        <v>11348380.129999997</v>
      </c>
      <c r="X217" s="90">
        <f>W216+X214</f>
        <v>204186765.42999998</v>
      </c>
      <c r="Y217" s="9"/>
    </row>
    <row r="218" spans="1:25" ht="12.75" x14ac:dyDescent="0.2">
      <c r="A218" s="21"/>
      <c r="B218" s="52"/>
      <c r="C218" s="52"/>
      <c r="D218" s="52"/>
      <c r="E218" s="52"/>
      <c r="F218" s="52"/>
      <c r="G218" s="52"/>
      <c r="H218" s="52"/>
      <c r="I218" s="52"/>
      <c r="J218" s="52"/>
      <c r="K218" s="52"/>
      <c r="L218" s="52"/>
      <c r="M218" s="52"/>
      <c r="N218" s="52"/>
      <c r="O218" s="52"/>
      <c r="P218" s="52"/>
      <c r="Q218" s="52"/>
      <c r="R218" s="52"/>
      <c r="S218" s="52"/>
      <c r="T218" s="52"/>
      <c r="U218" s="52"/>
      <c r="V218" s="52"/>
      <c r="W218" s="52"/>
      <c r="X218" s="91"/>
    </row>
    <row r="219" spans="1:25" ht="12.75" x14ac:dyDescent="0.2">
      <c r="A219" s="155" t="s">
        <v>45</v>
      </c>
      <c r="B219" s="90">
        <v>0</v>
      </c>
      <c r="C219" s="90">
        <v>135120</v>
      </c>
      <c r="D219" s="90">
        <v>41760</v>
      </c>
      <c r="E219" s="90">
        <v>120600</v>
      </c>
      <c r="F219" s="90">
        <v>105600</v>
      </c>
      <c r="G219" s="90">
        <f>SUM(B219:F219)</f>
        <v>403080</v>
      </c>
      <c r="H219" s="90">
        <v>0</v>
      </c>
      <c r="I219" s="90">
        <v>0</v>
      </c>
      <c r="J219" s="90">
        <v>67343.12</v>
      </c>
      <c r="K219" s="90">
        <v>64933.4</v>
      </c>
      <c r="L219" s="90">
        <v>42826.03</v>
      </c>
      <c r="M219" s="90">
        <v>29961.37</v>
      </c>
      <c r="N219" s="90">
        <v>45923.18</v>
      </c>
      <c r="O219" s="90">
        <v>22295.19</v>
      </c>
      <c r="P219" s="90">
        <v>0</v>
      </c>
      <c r="Q219" s="90">
        <f>SUM(H219:P219)</f>
        <v>273282.28999999998</v>
      </c>
      <c r="R219" s="118">
        <v>0</v>
      </c>
      <c r="S219" s="118"/>
      <c r="T219" s="118"/>
      <c r="U219" s="118"/>
      <c r="V219" s="118"/>
      <c r="W219" s="90">
        <f>Q219+G219+R219</f>
        <v>676362.29</v>
      </c>
      <c r="X219" s="90"/>
    </row>
    <row r="220" spans="1:25" ht="12.75" x14ac:dyDescent="0.2">
      <c r="A220" s="155" t="s">
        <v>42</v>
      </c>
      <c r="B220" s="90">
        <f t="shared" ref="B220:Q220" si="51">B217+B219-B169</f>
        <v>47408.689999999973</v>
      </c>
      <c r="C220" s="90">
        <f t="shared" si="51"/>
        <v>1610252.7799999998</v>
      </c>
      <c r="D220" s="90">
        <f t="shared" si="51"/>
        <v>1593301.4100000001</v>
      </c>
      <c r="E220" s="90">
        <f t="shared" si="51"/>
        <v>1284329.4299999997</v>
      </c>
      <c r="F220" s="90">
        <f t="shared" si="51"/>
        <v>1142516.5899999992</v>
      </c>
      <c r="G220" s="90">
        <f t="shared" si="51"/>
        <v>5677808.9000000013</v>
      </c>
      <c r="H220" s="90">
        <f t="shared" si="51"/>
        <v>687780.78000000038</v>
      </c>
      <c r="I220" s="90">
        <f t="shared" si="51"/>
        <v>308128.31000000023</v>
      </c>
      <c r="J220" s="90">
        <f t="shared" si="51"/>
        <v>678109.37000000023</v>
      </c>
      <c r="K220" s="90">
        <f t="shared" si="51"/>
        <v>666895.09999999986</v>
      </c>
      <c r="L220" s="90">
        <f t="shared" si="51"/>
        <v>588562.64000000013</v>
      </c>
      <c r="M220" s="90">
        <f t="shared" si="51"/>
        <v>352455.59000000026</v>
      </c>
      <c r="N220" s="90">
        <f t="shared" si="51"/>
        <v>701625.04999999993</v>
      </c>
      <c r="O220" s="90">
        <f t="shared" si="51"/>
        <v>1021731.0499999999</v>
      </c>
      <c r="P220" s="90">
        <f t="shared" si="51"/>
        <v>398890.57000000007</v>
      </c>
      <c r="Q220" s="90">
        <f t="shared" si="51"/>
        <v>5404178.46</v>
      </c>
      <c r="R220" s="90">
        <f>R217+R219-R169</f>
        <v>112684.16</v>
      </c>
      <c r="S220" s="90"/>
      <c r="T220" s="90"/>
      <c r="U220" s="90"/>
      <c r="V220" s="90"/>
      <c r="W220" s="90">
        <f>W217+W219-W169</f>
        <v>11194671.519999998</v>
      </c>
      <c r="X220" s="90">
        <f>W219+X217</f>
        <v>204863127.71999997</v>
      </c>
      <c r="Y220" s="9"/>
    </row>
    <row r="221" spans="1:25" ht="12.75" x14ac:dyDescent="0.2">
      <c r="A221" s="21"/>
      <c r="B221" s="52"/>
      <c r="C221" s="52"/>
      <c r="D221" s="52"/>
      <c r="E221" s="52"/>
      <c r="F221" s="52"/>
      <c r="G221" s="52"/>
      <c r="H221" s="52"/>
      <c r="I221" s="52"/>
      <c r="J221" s="52"/>
      <c r="K221" s="52"/>
      <c r="L221" s="52"/>
      <c r="M221" s="52"/>
      <c r="N221" s="52"/>
      <c r="O221" s="52"/>
      <c r="P221" s="52"/>
      <c r="Q221" s="52" t="s">
        <v>60</v>
      </c>
      <c r="R221" s="52"/>
      <c r="S221" s="52"/>
      <c r="T221" s="52"/>
      <c r="U221" s="52"/>
      <c r="V221" s="52"/>
      <c r="W221" s="52"/>
      <c r="X221" s="91"/>
    </row>
    <row r="222" spans="1:25" ht="12.75" x14ac:dyDescent="0.2">
      <c r="A222" s="155" t="s">
        <v>46</v>
      </c>
      <c r="B222" s="90">
        <v>0</v>
      </c>
      <c r="C222" s="90">
        <v>135120</v>
      </c>
      <c r="D222" s="90">
        <v>35040</v>
      </c>
      <c r="E222" s="90">
        <v>86040</v>
      </c>
      <c r="F222" s="90">
        <v>122640</v>
      </c>
      <c r="G222" s="90">
        <f>SUM(B222:F222)</f>
        <v>378840</v>
      </c>
      <c r="H222" s="90">
        <v>0</v>
      </c>
      <c r="I222" s="90">
        <v>0</v>
      </c>
      <c r="J222" s="90">
        <v>57327.97</v>
      </c>
      <c r="K222" s="90">
        <v>53507.839999999997</v>
      </c>
      <c r="L222" s="90">
        <v>37187.26</v>
      </c>
      <c r="M222" s="90">
        <v>23971.9</v>
      </c>
      <c r="N222" s="90">
        <v>54834.86</v>
      </c>
      <c r="O222" s="90">
        <v>51468.84</v>
      </c>
      <c r="P222" s="90">
        <v>0</v>
      </c>
      <c r="Q222" s="90">
        <f>SUM(H222:P222)</f>
        <v>278298.67000000004</v>
      </c>
      <c r="R222" s="90">
        <v>36778.53</v>
      </c>
      <c r="S222" s="90"/>
      <c r="T222" s="90"/>
      <c r="U222" s="90"/>
      <c r="V222" s="90"/>
      <c r="W222" s="90">
        <f>Q222+G222+R222</f>
        <v>693917.20000000007</v>
      </c>
      <c r="X222" s="90"/>
    </row>
    <row r="223" spans="1:25" ht="12.75" x14ac:dyDescent="0.2">
      <c r="A223" s="155" t="s">
        <v>42</v>
      </c>
      <c r="B223" s="90">
        <f t="shared" ref="B223:Q223" si="52">B220+B222-B172</f>
        <v>47408.689999999973</v>
      </c>
      <c r="C223" s="90">
        <f t="shared" si="52"/>
        <v>1595690.42</v>
      </c>
      <c r="D223" s="90">
        <f t="shared" si="52"/>
        <v>1459183.6500000001</v>
      </c>
      <c r="E223" s="90">
        <f t="shared" si="52"/>
        <v>1062379.8899999997</v>
      </c>
      <c r="F223" s="90">
        <f t="shared" si="52"/>
        <v>1134671.4099999992</v>
      </c>
      <c r="G223" s="90">
        <f t="shared" si="52"/>
        <v>5299334.0600000015</v>
      </c>
      <c r="H223" s="90">
        <f t="shared" si="52"/>
        <v>598171.4300000004</v>
      </c>
      <c r="I223" s="90">
        <f t="shared" si="52"/>
        <v>303816.49000000022</v>
      </c>
      <c r="J223" s="90">
        <f t="shared" si="52"/>
        <v>684776.02000000025</v>
      </c>
      <c r="K223" s="90">
        <f t="shared" si="52"/>
        <v>674382.33999999985</v>
      </c>
      <c r="L223" s="90">
        <f t="shared" si="52"/>
        <v>518029.90000000014</v>
      </c>
      <c r="M223" s="90">
        <f t="shared" si="52"/>
        <v>339234.47000000026</v>
      </c>
      <c r="N223" s="90">
        <f t="shared" si="52"/>
        <v>695535.41999999993</v>
      </c>
      <c r="O223" s="90">
        <f t="shared" si="52"/>
        <v>1023976.2499999999</v>
      </c>
      <c r="P223" s="90">
        <f t="shared" si="52"/>
        <v>312872.16000000003</v>
      </c>
      <c r="Q223" s="90">
        <f t="shared" si="52"/>
        <v>5150794.4799999995</v>
      </c>
      <c r="R223" s="90">
        <f>R220+R222-R172</f>
        <v>149462.69</v>
      </c>
      <c r="S223" s="90"/>
      <c r="T223" s="90"/>
      <c r="U223" s="90"/>
      <c r="V223" s="90"/>
      <c r="W223" s="90">
        <f>W220+W222-W172</f>
        <v>10599591.229999997</v>
      </c>
      <c r="X223" s="90">
        <f>W222+X220</f>
        <v>205557044.91999996</v>
      </c>
      <c r="Y223" s="9"/>
    </row>
    <row r="224" spans="1:25" ht="12.75" x14ac:dyDescent="0.2">
      <c r="A224" s="21"/>
      <c r="B224" s="52"/>
      <c r="C224" s="52"/>
      <c r="D224" s="52"/>
      <c r="E224" s="52"/>
      <c r="F224" s="52"/>
      <c r="G224" s="52"/>
      <c r="H224" s="52"/>
      <c r="I224" s="52"/>
      <c r="J224" s="52"/>
      <c r="K224" s="52"/>
      <c r="L224" s="52"/>
      <c r="M224" s="52"/>
      <c r="N224" s="52"/>
      <c r="O224" s="52"/>
      <c r="P224" s="52"/>
      <c r="Q224" s="52" t="s">
        <v>60</v>
      </c>
      <c r="R224" s="52"/>
      <c r="S224" s="52"/>
      <c r="T224" s="52"/>
      <c r="U224" s="52"/>
      <c r="V224" s="52"/>
      <c r="W224" s="52"/>
      <c r="X224" s="91"/>
    </row>
    <row r="225" spans="1:25" ht="12.75" x14ac:dyDescent="0.2">
      <c r="A225" s="155" t="s">
        <v>47</v>
      </c>
      <c r="B225" s="90">
        <v>0</v>
      </c>
      <c r="C225" s="90">
        <f>134160</f>
        <v>134160</v>
      </c>
      <c r="D225" s="90">
        <v>77280</v>
      </c>
      <c r="E225" s="90">
        <v>64524.480000000003</v>
      </c>
      <c r="F225" s="90">
        <v>89520</v>
      </c>
      <c r="G225" s="90">
        <f>SUM(B225:F225)</f>
        <v>365484.48</v>
      </c>
      <c r="H225" s="90">
        <v>0</v>
      </c>
      <c r="I225" s="90">
        <v>0</v>
      </c>
      <c r="J225" s="90">
        <v>102097.68</v>
      </c>
      <c r="K225" s="90">
        <v>97527.47</v>
      </c>
      <c r="L225" s="90">
        <v>157360.03</v>
      </c>
      <c r="M225" s="90">
        <v>48075.3</v>
      </c>
      <c r="N225" s="90">
        <v>88431.14</v>
      </c>
      <c r="O225" s="90">
        <v>168738.54</v>
      </c>
      <c r="P225" s="90">
        <v>348.43</v>
      </c>
      <c r="Q225" s="90">
        <f>SUM(H225:P225)</f>
        <v>662578.59000000008</v>
      </c>
      <c r="R225" s="90">
        <v>73469.88</v>
      </c>
      <c r="S225" s="90"/>
      <c r="T225" s="90"/>
      <c r="U225" s="90"/>
      <c r="V225" s="90"/>
      <c r="W225" s="90">
        <f>Q225+G225+R225</f>
        <v>1101532.9500000002</v>
      </c>
      <c r="X225" s="90"/>
    </row>
    <row r="226" spans="1:25" ht="12.75" x14ac:dyDescent="0.2">
      <c r="A226" s="155" t="s">
        <v>42</v>
      </c>
      <c r="B226" s="90">
        <f t="shared" ref="B226:Q226" si="53">B223+B225-B175</f>
        <v>22480.179999999975</v>
      </c>
      <c r="C226" s="90">
        <f t="shared" si="53"/>
        <v>1586545.74</v>
      </c>
      <c r="D226" s="90">
        <f t="shared" si="53"/>
        <v>1331436.2400000002</v>
      </c>
      <c r="E226" s="90">
        <f t="shared" si="53"/>
        <v>829552.01999999967</v>
      </c>
      <c r="F226" s="90">
        <f t="shared" si="53"/>
        <v>1125715.4399999992</v>
      </c>
      <c r="G226" s="90">
        <f t="shared" si="53"/>
        <v>4895729.620000001</v>
      </c>
      <c r="H226" s="90">
        <f t="shared" si="53"/>
        <v>296304.5500000004</v>
      </c>
      <c r="I226" s="90">
        <f t="shared" si="53"/>
        <v>89241.570000000211</v>
      </c>
      <c r="J226" s="90">
        <f t="shared" si="53"/>
        <v>720657.29000000015</v>
      </c>
      <c r="K226" s="90">
        <f t="shared" si="53"/>
        <v>711585.93999999983</v>
      </c>
      <c r="L226" s="90">
        <f t="shared" si="53"/>
        <v>469962.83000000019</v>
      </c>
      <c r="M226" s="90">
        <f t="shared" si="53"/>
        <v>330128.24000000022</v>
      </c>
      <c r="N226" s="90">
        <f t="shared" si="53"/>
        <v>706585.6399999999</v>
      </c>
      <c r="O226" s="90">
        <f t="shared" si="53"/>
        <v>1023135.8799999998</v>
      </c>
      <c r="P226" s="90">
        <f t="shared" si="53"/>
        <v>182832.31000000003</v>
      </c>
      <c r="Q226" s="90">
        <f t="shared" si="53"/>
        <v>4530434.2499999991</v>
      </c>
      <c r="R226" s="90">
        <f>R223+R225-R175</f>
        <v>222950.52000000002</v>
      </c>
      <c r="S226" s="90"/>
      <c r="T226" s="90"/>
      <c r="U226" s="90"/>
      <c r="V226" s="90"/>
      <c r="W226" s="90">
        <f>W223+W225-W175</f>
        <v>9649114.3899999969</v>
      </c>
      <c r="X226" s="90">
        <f>W225+X223</f>
        <v>206658577.86999995</v>
      </c>
      <c r="Y226" s="9"/>
    </row>
    <row r="227" spans="1:25" ht="12.75" x14ac:dyDescent="0.2">
      <c r="A227" s="21"/>
      <c r="B227" s="52"/>
      <c r="C227" s="52" t="s">
        <v>60</v>
      </c>
      <c r="D227" s="52"/>
      <c r="E227" s="52"/>
      <c r="F227" s="52"/>
      <c r="G227" s="52"/>
      <c r="H227" s="52"/>
      <c r="I227" s="52"/>
      <c r="J227" s="52"/>
      <c r="K227" s="52"/>
      <c r="L227" s="52"/>
      <c r="M227" s="52"/>
      <c r="N227" s="52"/>
      <c r="O227" s="52"/>
      <c r="P227" s="52"/>
      <c r="Q227" s="52"/>
      <c r="R227" s="52"/>
      <c r="S227" s="52"/>
      <c r="T227" s="52"/>
      <c r="U227" s="52"/>
      <c r="V227" s="52"/>
      <c r="W227" s="52"/>
      <c r="X227" s="91"/>
    </row>
    <row r="228" spans="1:25" ht="12.75" x14ac:dyDescent="0.2">
      <c r="A228" s="155" t="s">
        <v>48</v>
      </c>
      <c r="B228" s="90">
        <v>0</v>
      </c>
      <c r="C228" s="90">
        <v>141840</v>
      </c>
      <c r="D228" s="90">
        <v>109196</v>
      </c>
      <c r="E228" s="90">
        <v>86040</v>
      </c>
      <c r="F228" s="90">
        <v>106773.92</v>
      </c>
      <c r="G228" s="90">
        <f>SUM(B228:F228)</f>
        <v>443849.92</v>
      </c>
      <c r="H228" s="90">
        <v>31077.41</v>
      </c>
      <c r="I228" s="90">
        <v>0</v>
      </c>
      <c r="J228" s="90">
        <v>102453.96</v>
      </c>
      <c r="K228" s="90">
        <v>100133.56</v>
      </c>
      <c r="L228" s="90">
        <v>161992.41</v>
      </c>
      <c r="M228" s="90">
        <v>51712.22</v>
      </c>
      <c r="N228" s="90">
        <v>93811.1</v>
      </c>
      <c r="O228" s="90">
        <v>189150.55</v>
      </c>
      <c r="P228" s="90">
        <v>0</v>
      </c>
      <c r="Q228" s="90">
        <f>SUM(H228:P228)</f>
        <v>730331.21</v>
      </c>
      <c r="R228" s="90">
        <v>203568.49</v>
      </c>
      <c r="S228" s="90"/>
      <c r="T228" s="90"/>
      <c r="U228" s="90"/>
      <c r="V228" s="90"/>
      <c r="W228" s="90">
        <f>Q228+G228+R228</f>
        <v>1377749.6199999999</v>
      </c>
      <c r="X228" s="90"/>
    </row>
    <row r="229" spans="1:25" ht="12.75" x14ac:dyDescent="0.2">
      <c r="A229" s="155" t="s">
        <v>42</v>
      </c>
      <c r="B229" s="90">
        <f>B226+B228-B178</f>
        <v>0</v>
      </c>
      <c r="C229" s="90">
        <f t="shared" ref="C229:R229" si="54">C226+C228-C178</f>
        <v>1566739.92</v>
      </c>
      <c r="D229" s="90">
        <f t="shared" si="54"/>
        <v>1196911.5200000003</v>
      </c>
      <c r="E229" s="90">
        <f t="shared" si="54"/>
        <v>746156.03999999969</v>
      </c>
      <c r="F229" s="90">
        <f t="shared" si="54"/>
        <v>1105899.2599999991</v>
      </c>
      <c r="G229" s="90">
        <f t="shared" si="54"/>
        <v>4615706.7400000012</v>
      </c>
      <c r="H229" s="90">
        <f t="shared" si="54"/>
        <v>277254.64000000036</v>
      </c>
      <c r="I229" s="90">
        <f t="shared" si="54"/>
        <v>64718.110000000212</v>
      </c>
      <c r="J229" s="90">
        <f t="shared" si="54"/>
        <v>729622.16000000015</v>
      </c>
      <c r="K229" s="90">
        <f t="shared" si="54"/>
        <v>718016.61999999976</v>
      </c>
      <c r="L229" s="90">
        <f t="shared" si="54"/>
        <v>484988.81000000023</v>
      </c>
      <c r="M229" s="90">
        <f t="shared" si="54"/>
        <v>329003.87000000023</v>
      </c>
      <c r="N229" s="90">
        <f t="shared" si="54"/>
        <v>729315.11999999988</v>
      </c>
      <c r="O229" s="90">
        <f t="shared" si="54"/>
        <v>1029294.1199999996</v>
      </c>
      <c r="P229" s="90">
        <f t="shared" si="54"/>
        <v>180301.35000000003</v>
      </c>
      <c r="Q229" s="90">
        <f t="shared" si="54"/>
        <v>4542514.7999999989</v>
      </c>
      <c r="R229" s="90">
        <f t="shared" si="54"/>
        <v>400651.54000000004</v>
      </c>
      <c r="S229" s="90"/>
      <c r="T229" s="90"/>
      <c r="U229" s="90"/>
      <c r="V229" s="90"/>
      <c r="W229" s="90">
        <f>W226+W228-W178</f>
        <v>9558873.0799999963</v>
      </c>
      <c r="X229" s="90">
        <f>W228+X226</f>
        <v>208036327.48999995</v>
      </c>
      <c r="Y229" s="9"/>
    </row>
    <row r="230" spans="1:25" ht="12.75" x14ac:dyDescent="0.2">
      <c r="A230" s="21"/>
      <c r="B230" s="52"/>
      <c r="C230" s="52"/>
      <c r="D230" s="52"/>
      <c r="E230" s="52"/>
      <c r="F230" s="52"/>
      <c r="G230" s="52"/>
      <c r="H230" s="52"/>
      <c r="I230" s="52"/>
      <c r="J230" s="52"/>
      <c r="K230" s="52"/>
      <c r="L230" s="52"/>
      <c r="M230" s="52"/>
      <c r="N230" s="52"/>
      <c r="O230" s="52"/>
      <c r="P230" s="52"/>
      <c r="Q230" s="52"/>
      <c r="R230" s="52"/>
      <c r="S230" s="52"/>
      <c r="T230" s="52"/>
      <c r="U230" s="52"/>
      <c r="V230" s="52"/>
      <c r="W230" s="52"/>
      <c r="X230" s="91"/>
    </row>
    <row r="231" spans="1:25" ht="12.75" x14ac:dyDescent="0.2">
      <c r="A231" s="155" t="s">
        <v>49</v>
      </c>
      <c r="B231" s="90">
        <v>0</v>
      </c>
      <c r="C231" s="90">
        <v>131520</v>
      </c>
      <c r="D231" s="90">
        <v>114720</v>
      </c>
      <c r="E231" s="90">
        <v>94680</v>
      </c>
      <c r="F231" s="90">
        <v>101760</v>
      </c>
      <c r="G231" s="90">
        <f>SUM(B231:F231)</f>
        <v>442680</v>
      </c>
      <c r="H231" s="90">
        <v>9276.73</v>
      </c>
      <c r="I231" s="90">
        <v>0</v>
      </c>
      <c r="J231" s="90">
        <v>99935.14</v>
      </c>
      <c r="K231" s="90">
        <v>108693.51</v>
      </c>
      <c r="L231" s="90">
        <v>167405.15</v>
      </c>
      <c r="M231" s="90">
        <v>47641.52</v>
      </c>
      <c r="N231" s="90">
        <v>106017.37</v>
      </c>
      <c r="O231" s="90">
        <v>206842.31</v>
      </c>
      <c r="P231" s="90">
        <v>0</v>
      </c>
      <c r="Q231" s="90">
        <f>SUM(H231:P231)</f>
        <v>745811.73</v>
      </c>
      <c r="R231" s="90">
        <v>102494.88</v>
      </c>
      <c r="S231" s="90"/>
      <c r="T231" s="90"/>
      <c r="U231" s="90"/>
      <c r="V231" s="90"/>
      <c r="W231" s="90">
        <f>Q231+G231+R231</f>
        <v>1290986.6099999999</v>
      </c>
      <c r="X231" s="90"/>
    </row>
    <row r="232" spans="1:25" ht="12.75" x14ac:dyDescent="0.2">
      <c r="A232" s="155" t="s">
        <v>42</v>
      </c>
      <c r="B232" s="90">
        <f>B229+B231-B181</f>
        <v>0</v>
      </c>
      <c r="C232" s="90">
        <f t="shared" ref="C232:R232" si="55">C229+C231-C181</f>
        <v>1542456.72</v>
      </c>
      <c r="D232" s="90">
        <f t="shared" si="55"/>
        <v>1065128.6000000003</v>
      </c>
      <c r="E232" s="90">
        <f t="shared" si="55"/>
        <v>747354.11999999965</v>
      </c>
      <c r="F232" s="90">
        <f t="shared" si="55"/>
        <v>1061037.3199999991</v>
      </c>
      <c r="G232" s="90">
        <f t="shared" si="55"/>
        <v>4415976.7600000016</v>
      </c>
      <c r="H232" s="90">
        <f t="shared" si="55"/>
        <v>226782.77000000034</v>
      </c>
      <c r="I232" s="90">
        <f t="shared" si="55"/>
        <v>64718.110000000212</v>
      </c>
      <c r="J232" s="90">
        <f t="shared" si="55"/>
        <v>758485.38000000012</v>
      </c>
      <c r="K232" s="90">
        <f t="shared" si="55"/>
        <v>748003.88999999978</v>
      </c>
      <c r="L232" s="90">
        <f t="shared" si="55"/>
        <v>628056.32000000018</v>
      </c>
      <c r="M232" s="90">
        <f t="shared" si="55"/>
        <v>322310.97000000026</v>
      </c>
      <c r="N232" s="90">
        <f t="shared" si="55"/>
        <v>745934.41999999993</v>
      </c>
      <c r="O232" s="90">
        <f t="shared" si="55"/>
        <v>1050322.7499999998</v>
      </c>
      <c r="P232" s="90">
        <f t="shared" si="55"/>
        <v>179502.45000000004</v>
      </c>
      <c r="Q232" s="90">
        <f t="shared" si="55"/>
        <v>4724117.0599999996</v>
      </c>
      <c r="R232" s="90">
        <f t="shared" si="55"/>
        <v>421190.34</v>
      </c>
      <c r="S232" s="90"/>
      <c r="T232" s="90"/>
      <c r="U232" s="90"/>
      <c r="V232" s="90"/>
      <c r="W232" s="90">
        <f>W229+W231-W181</f>
        <v>9561284.1599999964</v>
      </c>
      <c r="X232" s="90">
        <f>W231+X229</f>
        <v>209327314.09999996</v>
      </c>
      <c r="Y232" s="9"/>
    </row>
    <row r="233" spans="1:25" ht="12.75" x14ac:dyDescent="0.2">
      <c r="A233" s="21"/>
      <c r="B233" s="52"/>
      <c r="C233" s="52"/>
      <c r="D233" s="52"/>
      <c r="E233" s="52"/>
      <c r="F233" s="52"/>
      <c r="G233" s="52"/>
      <c r="H233" s="52"/>
      <c r="I233" s="52"/>
      <c r="J233" s="52"/>
      <c r="K233" s="52"/>
      <c r="L233" s="52"/>
      <c r="M233" s="52"/>
      <c r="N233" s="52"/>
      <c r="O233" s="52"/>
      <c r="P233" s="52"/>
      <c r="Q233" s="52"/>
      <c r="R233" s="52"/>
      <c r="S233" s="52"/>
      <c r="T233" s="52"/>
      <c r="U233" s="52"/>
      <c r="V233" s="52"/>
      <c r="W233" s="52"/>
      <c r="X233" s="91"/>
    </row>
    <row r="234" spans="1:25" ht="12.75" x14ac:dyDescent="0.2">
      <c r="A234" s="155" t="s">
        <v>50</v>
      </c>
      <c r="B234" s="90">
        <v>0</v>
      </c>
      <c r="C234" s="90">
        <v>132720</v>
      </c>
      <c r="D234" s="90">
        <v>108000</v>
      </c>
      <c r="E234" s="90">
        <v>104400</v>
      </c>
      <c r="F234" s="90">
        <v>96240</v>
      </c>
      <c r="G234" s="90">
        <f>SUM(B234:F234)</f>
        <v>441360</v>
      </c>
      <c r="H234" s="90">
        <v>0</v>
      </c>
      <c r="I234" s="90">
        <v>0</v>
      </c>
      <c r="J234" s="90">
        <v>94318.96</v>
      </c>
      <c r="K234" s="90">
        <v>93194.02</v>
      </c>
      <c r="L234" s="90">
        <v>142988.79</v>
      </c>
      <c r="M234" s="90">
        <v>43387.88</v>
      </c>
      <c r="N234" s="90">
        <v>86757.93</v>
      </c>
      <c r="O234" s="90">
        <v>198817.35</v>
      </c>
      <c r="P234" s="90">
        <v>0</v>
      </c>
      <c r="Q234" s="90">
        <f>SUM(H234:P234)</f>
        <v>659464.93000000005</v>
      </c>
      <c r="R234" s="90">
        <v>93613.07</v>
      </c>
      <c r="S234" s="90"/>
      <c r="T234" s="90"/>
      <c r="U234" s="90"/>
      <c r="V234" s="90"/>
      <c r="W234" s="90">
        <f>Q234+G234+R234</f>
        <v>1194438.0000000002</v>
      </c>
      <c r="X234" s="90"/>
    </row>
    <row r="235" spans="1:25" ht="12.75" x14ac:dyDescent="0.2">
      <c r="A235" s="155" t="s">
        <v>42</v>
      </c>
      <c r="B235" s="90">
        <f>B232+B234-B184</f>
        <v>0</v>
      </c>
      <c r="C235" s="90">
        <f t="shared" ref="C235:R235" si="56">C232+C234-C184</f>
        <v>1532728.08</v>
      </c>
      <c r="D235" s="90">
        <f t="shared" si="56"/>
        <v>943318.88000000035</v>
      </c>
      <c r="E235" s="90">
        <f t="shared" si="56"/>
        <v>756185.54999999958</v>
      </c>
      <c r="F235" s="90">
        <f t="shared" si="56"/>
        <v>1030687.2199999992</v>
      </c>
      <c r="G235" s="90">
        <f t="shared" si="56"/>
        <v>4262919.7300000014</v>
      </c>
      <c r="H235" s="90">
        <f t="shared" si="56"/>
        <v>226782.77000000034</v>
      </c>
      <c r="I235" s="90">
        <f t="shared" si="56"/>
        <v>64718.110000000212</v>
      </c>
      <c r="J235" s="90">
        <f t="shared" si="56"/>
        <v>773794.81</v>
      </c>
      <c r="K235" s="90">
        <f t="shared" si="56"/>
        <v>756270.2799999998</v>
      </c>
      <c r="L235" s="90">
        <f t="shared" si="56"/>
        <v>709759.67000000016</v>
      </c>
      <c r="M235" s="90">
        <f t="shared" si="56"/>
        <v>313712.56000000029</v>
      </c>
      <c r="N235" s="90">
        <f t="shared" si="56"/>
        <v>750085.10999999987</v>
      </c>
      <c r="O235" s="90">
        <f t="shared" si="56"/>
        <v>1085620.67</v>
      </c>
      <c r="P235" s="90">
        <f t="shared" si="56"/>
        <v>179502.45000000004</v>
      </c>
      <c r="Q235" s="90">
        <f t="shared" si="56"/>
        <v>4860246.43</v>
      </c>
      <c r="R235" s="90">
        <f t="shared" si="56"/>
        <v>509924.85000000003</v>
      </c>
      <c r="S235" s="90"/>
      <c r="T235" s="90"/>
      <c r="U235" s="90"/>
      <c r="V235" s="90"/>
      <c r="W235" s="90">
        <f>W232+W234-W184</f>
        <v>9633091.0099999961</v>
      </c>
      <c r="X235" s="90">
        <f>W234+X232</f>
        <v>210521752.09999996</v>
      </c>
      <c r="Y235" s="9"/>
    </row>
    <row r="236" spans="1:25" ht="12.75" x14ac:dyDescent="0.2">
      <c r="A236" s="21"/>
      <c r="B236" s="52"/>
      <c r="C236" s="52"/>
      <c r="D236" s="52"/>
      <c r="E236" s="52"/>
      <c r="F236" s="52"/>
      <c r="G236" s="52"/>
      <c r="H236" s="52"/>
      <c r="I236" s="52"/>
      <c r="J236" s="52"/>
      <c r="K236" s="52"/>
      <c r="L236" s="52"/>
      <c r="M236" s="52"/>
      <c r="N236" s="52"/>
      <c r="O236" s="52"/>
      <c r="P236" s="52"/>
      <c r="Q236" s="52"/>
      <c r="R236" s="52"/>
      <c r="S236" s="52"/>
      <c r="T236" s="52"/>
      <c r="U236" s="52"/>
      <c r="V236" s="52"/>
      <c r="W236" s="52"/>
      <c r="X236" s="91"/>
    </row>
    <row r="237" spans="1:25" ht="12.75" x14ac:dyDescent="0.2">
      <c r="A237" s="155" t="s">
        <v>51</v>
      </c>
      <c r="B237" s="90">
        <v>0</v>
      </c>
      <c r="C237" s="90">
        <v>118800</v>
      </c>
      <c r="D237" s="90">
        <v>116160</v>
      </c>
      <c r="E237" s="90">
        <v>0</v>
      </c>
      <c r="F237" s="90">
        <v>96240</v>
      </c>
      <c r="G237" s="90">
        <f>SUM(B237:F237)</f>
        <v>331200</v>
      </c>
      <c r="H237" s="90">
        <v>19996.939999999999</v>
      </c>
      <c r="I237" s="90">
        <v>0</v>
      </c>
      <c r="J237" s="90">
        <v>50985.79</v>
      </c>
      <c r="K237" s="90">
        <v>49151.32</v>
      </c>
      <c r="L237" s="90">
        <v>0</v>
      </c>
      <c r="M237" s="90">
        <v>25969.89</v>
      </c>
      <c r="N237" s="90">
        <v>62491.07</v>
      </c>
      <c r="O237" s="90">
        <v>125243.01</v>
      </c>
      <c r="P237" s="90">
        <v>0</v>
      </c>
      <c r="Q237" s="90">
        <f>SUM(H237:P237)</f>
        <v>333838.02</v>
      </c>
      <c r="R237" s="118">
        <v>0</v>
      </c>
      <c r="S237" s="118"/>
      <c r="T237" s="118"/>
      <c r="U237" s="118"/>
      <c r="V237" s="118"/>
      <c r="W237" s="90">
        <f>Q237+G237+R237</f>
        <v>665038.02</v>
      </c>
      <c r="X237" s="90"/>
    </row>
    <row r="238" spans="1:25" ht="12.75" x14ac:dyDescent="0.2">
      <c r="A238" s="155" t="s">
        <v>42</v>
      </c>
      <c r="B238" s="90">
        <f>B235+B237-B187</f>
        <v>0</v>
      </c>
      <c r="C238" s="90">
        <f t="shared" ref="C238:R238" si="57">C235+C237-C187</f>
        <v>1537457.8800000001</v>
      </c>
      <c r="D238" s="90">
        <f t="shared" si="57"/>
        <v>890321.12000000034</v>
      </c>
      <c r="E238" s="90">
        <f t="shared" si="57"/>
        <v>743248.3199999996</v>
      </c>
      <c r="F238" s="90">
        <f t="shared" si="57"/>
        <v>1022316.4999999993</v>
      </c>
      <c r="G238" s="90">
        <f t="shared" si="57"/>
        <v>4193343.8200000012</v>
      </c>
      <c r="H238" s="90">
        <f t="shared" si="57"/>
        <v>155236.41000000032</v>
      </c>
      <c r="I238" s="90">
        <f t="shared" si="57"/>
        <v>40640.450000000215</v>
      </c>
      <c r="J238" s="90">
        <f t="shared" si="57"/>
        <v>819049.67</v>
      </c>
      <c r="K238" s="90">
        <f t="shared" si="57"/>
        <v>799218.2999999997</v>
      </c>
      <c r="L238" s="90">
        <f t="shared" si="57"/>
        <v>709759.67000000016</v>
      </c>
      <c r="M238" s="90">
        <f t="shared" si="57"/>
        <v>304387.62000000029</v>
      </c>
      <c r="N238" s="90">
        <f t="shared" si="57"/>
        <v>761722.17999999982</v>
      </c>
      <c r="O238" s="90">
        <f t="shared" si="57"/>
        <v>1098542.97</v>
      </c>
      <c r="P238" s="90">
        <f t="shared" si="57"/>
        <v>105084.54000000004</v>
      </c>
      <c r="Q238" s="90">
        <f t="shared" si="57"/>
        <v>4793641.8099999996</v>
      </c>
      <c r="R238" s="90">
        <f t="shared" si="57"/>
        <v>509924.85000000003</v>
      </c>
      <c r="S238" s="90"/>
      <c r="T238" s="90"/>
      <c r="U238" s="90"/>
      <c r="V238" s="90"/>
      <c r="W238" s="90">
        <f>W235+W237-W187</f>
        <v>9496910.4799999949</v>
      </c>
      <c r="X238" s="90">
        <f>W237+X235</f>
        <v>211186790.11999997</v>
      </c>
      <c r="Y238" s="9"/>
    </row>
    <row r="239" spans="1:25" ht="12.75" x14ac:dyDescent="0.2">
      <c r="A239" s="21"/>
      <c r="B239" s="52"/>
      <c r="C239" s="52"/>
      <c r="D239" s="52"/>
      <c r="E239" s="52"/>
      <c r="F239" s="52"/>
      <c r="G239" s="52"/>
      <c r="H239" s="52"/>
      <c r="I239" s="52"/>
      <c r="J239" s="52"/>
      <c r="K239" s="52"/>
      <c r="L239" s="52"/>
      <c r="M239" s="52"/>
      <c r="N239" s="52"/>
      <c r="O239" s="52"/>
      <c r="P239" s="52"/>
      <c r="Q239" s="52"/>
      <c r="R239" s="52"/>
      <c r="S239" s="52"/>
      <c r="T239" s="52"/>
      <c r="U239" s="52"/>
      <c r="V239" s="52"/>
      <c r="W239" s="52"/>
      <c r="X239" s="91"/>
    </row>
    <row r="240" spans="1:25" ht="12.75" x14ac:dyDescent="0.2">
      <c r="A240" s="155" t="s">
        <v>52</v>
      </c>
      <c r="B240" s="90">
        <v>1344</v>
      </c>
      <c r="C240" s="90">
        <v>105600</v>
      </c>
      <c r="D240" s="90">
        <v>85440</v>
      </c>
      <c r="E240" s="90">
        <v>0</v>
      </c>
      <c r="F240" s="90">
        <v>122880</v>
      </c>
      <c r="G240" s="90">
        <f>SUM(B240:F240)</f>
        <v>315264</v>
      </c>
      <c r="H240" s="90">
        <v>0</v>
      </c>
      <c r="I240" s="90">
        <v>0</v>
      </c>
      <c r="J240" s="90">
        <v>70491.240000000005</v>
      </c>
      <c r="K240" s="90">
        <v>68101.73</v>
      </c>
      <c r="L240" s="90">
        <v>0</v>
      </c>
      <c r="M240" s="90">
        <v>26270.14</v>
      </c>
      <c r="N240" s="90">
        <v>60901.72</v>
      </c>
      <c r="O240" s="90">
        <v>110329.2</v>
      </c>
      <c r="P240" s="90">
        <v>0</v>
      </c>
      <c r="Q240" s="90">
        <f>SUM(H240:P240)</f>
        <v>336094.02999999997</v>
      </c>
      <c r="R240" s="118">
        <v>0</v>
      </c>
      <c r="S240" s="118"/>
      <c r="T240" s="118"/>
      <c r="U240" s="118"/>
      <c r="V240" s="118"/>
      <c r="W240" s="90">
        <f>Q240+G240+R240</f>
        <v>651358.03</v>
      </c>
      <c r="X240" s="90"/>
    </row>
    <row r="241" spans="1:25" ht="12.75" x14ac:dyDescent="0.2">
      <c r="A241" s="155" t="s">
        <v>42</v>
      </c>
      <c r="B241" s="90">
        <f>B238+B240-B190</f>
        <v>1344</v>
      </c>
      <c r="C241" s="90">
        <f t="shared" ref="C241:R241" si="58">C238+C240-C190</f>
        <v>1548463.08</v>
      </c>
      <c r="D241" s="90">
        <f t="shared" si="58"/>
        <v>837207.56000000029</v>
      </c>
      <c r="E241" s="90">
        <f t="shared" si="58"/>
        <v>699428.66999999958</v>
      </c>
      <c r="F241" s="90">
        <f t="shared" si="58"/>
        <v>1041698.6599999993</v>
      </c>
      <c r="G241" s="90">
        <f t="shared" si="58"/>
        <v>4128141.9700000011</v>
      </c>
      <c r="H241" s="90">
        <f t="shared" si="58"/>
        <v>119455.53000000032</v>
      </c>
      <c r="I241" s="90">
        <f t="shared" si="58"/>
        <v>40640.450000000215</v>
      </c>
      <c r="J241" s="90">
        <f t="shared" si="58"/>
        <v>889540.91</v>
      </c>
      <c r="K241" s="90">
        <f t="shared" si="58"/>
        <v>867320.02999999968</v>
      </c>
      <c r="L241" s="90">
        <f t="shared" si="58"/>
        <v>709759.67000000016</v>
      </c>
      <c r="M241" s="90">
        <f t="shared" si="58"/>
        <v>317630.59000000032</v>
      </c>
      <c r="N241" s="90">
        <f t="shared" si="58"/>
        <v>772264.2899999998</v>
      </c>
      <c r="O241" s="90">
        <f t="shared" si="58"/>
        <v>1169221.5</v>
      </c>
      <c r="P241" s="90">
        <f t="shared" si="58"/>
        <v>20584.34000000004</v>
      </c>
      <c r="Q241" s="90">
        <f t="shared" si="58"/>
        <v>4906417.3099999996</v>
      </c>
      <c r="R241" s="90">
        <f t="shared" si="58"/>
        <v>509924.85000000003</v>
      </c>
      <c r="S241" s="90"/>
      <c r="T241" s="90"/>
      <c r="U241" s="90"/>
      <c r="V241" s="90"/>
      <c r="W241" s="90">
        <f>W238+W240-W190</f>
        <v>9544484.1299999934</v>
      </c>
      <c r="X241" s="90">
        <f>W240+X238</f>
        <v>211838148.14999998</v>
      </c>
      <c r="Y241" s="9"/>
    </row>
    <row r="242" spans="1:25" ht="12.75" x14ac:dyDescent="0.2">
      <c r="A242" s="21"/>
      <c r="B242" s="52"/>
      <c r="C242" s="52"/>
      <c r="D242" s="52"/>
      <c r="E242" s="52"/>
      <c r="F242" s="52"/>
      <c r="G242" s="52"/>
      <c r="H242" s="52"/>
      <c r="I242" s="52"/>
      <c r="J242" s="52"/>
      <c r="K242" s="52"/>
      <c r="L242" s="52"/>
      <c r="M242" s="52"/>
      <c r="N242" s="52"/>
      <c r="O242" s="52"/>
      <c r="P242" s="52"/>
      <c r="Q242" s="52"/>
      <c r="R242" s="52"/>
      <c r="S242" s="52"/>
      <c r="T242" s="52"/>
      <c r="U242" s="52"/>
      <c r="V242" s="52"/>
      <c r="W242" s="52"/>
      <c r="X242" s="91"/>
    </row>
    <row r="243" spans="1:25" ht="12.75" x14ac:dyDescent="0.2">
      <c r="A243" s="155" t="s">
        <v>53</v>
      </c>
      <c r="B243" s="90">
        <v>9408</v>
      </c>
      <c r="C243" s="90">
        <v>77760</v>
      </c>
      <c r="D243" s="90">
        <v>93600</v>
      </c>
      <c r="E243" s="90">
        <v>74160</v>
      </c>
      <c r="F243" s="90">
        <v>102720</v>
      </c>
      <c r="G243" s="90">
        <f>SUM(B243:F243)</f>
        <v>357648</v>
      </c>
      <c r="H243" s="90">
        <v>40023.14</v>
      </c>
      <c r="I243" s="90">
        <v>0</v>
      </c>
      <c r="J243" s="90">
        <v>52491.96</v>
      </c>
      <c r="K243" s="90">
        <v>51060.15</v>
      </c>
      <c r="L243" s="90">
        <v>0</v>
      </c>
      <c r="M243" s="90">
        <v>24744.38</v>
      </c>
      <c r="N243" s="90">
        <v>35449.050000000003</v>
      </c>
      <c r="O243" s="90">
        <v>62906.73</v>
      </c>
      <c r="P243" s="90">
        <v>0</v>
      </c>
      <c r="Q243" s="90">
        <f>SUM(H243:P243)</f>
        <v>266675.40999999997</v>
      </c>
      <c r="R243" s="118">
        <v>0</v>
      </c>
      <c r="S243" s="118"/>
      <c r="T243" s="118"/>
      <c r="U243" s="118"/>
      <c r="V243" s="118"/>
      <c r="W243" s="90">
        <f>Q243+G243+R243</f>
        <v>624323.40999999992</v>
      </c>
      <c r="X243" s="90"/>
    </row>
    <row r="244" spans="1:25" ht="12.75" x14ac:dyDescent="0.2">
      <c r="A244" s="155" t="s">
        <v>42</v>
      </c>
      <c r="B244" s="90">
        <f>B241+B243-B193</f>
        <v>10752</v>
      </c>
      <c r="C244" s="90">
        <f t="shared" ref="C244:R244" si="59">C241+C243-C193</f>
        <v>1511040</v>
      </c>
      <c r="D244" s="90">
        <f t="shared" si="59"/>
        <v>820076.00000000023</v>
      </c>
      <c r="E244" s="90">
        <f t="shared" si="59"/>
        <v>630444.47999999952</v>
      </c>
      <c r="F244" s="90">
        <f t="shared" si="59"/>
        <v>1070133.9199999992</v>
      </c>
      <c r="G244" s="90">
        <f t="shared" si="59"/>
        <v>4042446.4000000008</v>
      </c>
      <c r="H244" s="90">
        <f t="shared" si="59"/>
        <v>100374.22000000034</v>
      </c>
      <c r="I244" s="90">
        <f t="shared" si="59"/>
        <v>2.1827872842550278E-10</v>
      </c>
      <c r="J244" s="90">
        <f t="shared" si="59"/>
        <v>877046.71</v>
      </c>
      <c r="K244" s="90">
        <f t="shared" si="59"/>
        <v>855363.90999999968</v>
      </c>
      <c r="L244" s="90">
        <f t="shared" si="59"/>
        <v>709759.67000000016</v>
      </c>
      <c r="M244" s="90">
        <f t="shared" si="59"/>
        <v>321734.60000000033</v>
      </c>
      <c r="N244" s="90">
        <f t="shared" si="59"/>
        <v>758487.68999999983</v>
      </c>
      <c r="O244" s="90">
        <f t="shared" si="59"/>
        <v>1211724.95</v>
      </c>
      <c r="P244" s="90">
        <f t="shared" si="59"/>
        <v>348.43000000004031</v>
      </c>
      <c r="Q244" s="90">
        <f t="shared" si="59"/>
        <v>4834840.18</v>
      </c>
      <c r="R244" s="90">
        <f t="shared" si="59"/>
        <v>509924.85000000003</v>
      </c>
      <c r="S244" s="90"/>
      <c r="T244" s="90"/>
      <c r="U244" s="90"/>
      <c r="V244" s="90"/>
      <c r="W244" s="90">
        <f>W241+W243-W193</f>
        <v>9387211.4299999941</v>
      </c>
      <c r="X244" s="90">
        <f>W243+X241</f>
        <v>212462471.55999997</v>
      </c>
    </row>
    <row r="245" spans="1:25" ht="12.75" x14ac:dyDescent="0.2">
      <c r="A245" s="52"/>
      <c r="B245" s="52"/>
      <c r="C245" s="52"/>
      <c r="D245" s="52"/>
      <c r="E245" s="52"/>
      <c r="F245" s="52"/>
      <c r="G245" s="52"/>
      <c r="H245" s="52"/>
      <c r="I245" s="52"/>
      <c r="J245" s="52"/>
      <c r="K245" s="52"/>
      <c r="L245" s="52"/>
      <c r="M245" s="52"/>
      <c r="N245" s="52"/>
      <c r="O245" s="52"/>
      <c r="P245" s="52"/>
      <c r="Q245" s="52"/>
      <c r="R245" s="52"/>
      <c r="S245" s="52"/>
      <c r="T245" s="52"/>
      <c r="U245" s="52"/>
      <c r="V245" s="52"/>
      <c r="W245" s="91"/>
      <c r="X245" s="91"/>
    </row>
    <row r="246" spans="1:25" ht="12.75" x14ac:dyDescent="0.2">
      <c r="A246" s="52"/>
      <c r="B246" s="52" t="s">
        <v>60</v>
      </c>
      <c r="C246" s="52"/>
      <c r="D246" s="52"/>
      <c r="E246" s="52"/>
      <c r="F246" s="52"/>
      <c r="G246" s="52"/>
      <c r="H246" s="52"/>
      <c r="I246" s="52"/>
      <c r="J246" s="52"/>
      <c r="K246" s="52"/>
      <c r="L246" s="52"/>
      <c r="M246" s="52"/>
      <c r="N246" s="52"/>
      <c r="O246" s="52"/>
      <c r="P246" s="52"/>
      <c r="Q246" s="52"/>
      <c r="R246" s="52"/>
      <c r="S246" s="52"/>
      <c r="T246" s="52"/>
      <c r="U246" s="52"/>
      <c r="V246" s="52"/>
      <c r="W246" s="91" t="s">
        <v>60</v>
      </c>
      <c r="X246" s="91"/>
    </row>
    <row r="247" spans="1:25" ht="12.75" x14ac:dyDescent="0.2">
      <c r="A247" s="52"/>
      <c r="B247" s="52"/>
      <c r="C247" s="52"/>
      <c r="D247" s="52"/>
      <c r="E247" s="52"/>
      <c r="F247" s="52"/>
      <c r="G247" s="52"/>
      <c r="H247" s="52"/>
      <c r="I247" s="52"/>
      <c r="J247" s="52"/>
      <c r="K247" s="52"/>
      <c r="L247" s="52"/>
      <c r="M247" s="52"/>
      <c r="N247" s="52"/>
      <c r="O247" s="52"/>
      <c r="P247" s="52"/>
      <c r="Q247" s="52"/>
      <c r="R247" s="52"/>
      <c r="S247" s="52"/>
      <c r="T247" s="52"/>
      <c r="U247" s="52"/>
      <c r="V247" s="52"/>
      <c r="W247" s="91"/>
      <c r="X247" s="91"/>
    </row>
    <row r="248" spans="1:25" x14ac:dyDescent="0.2">
      <c r="A248" s="3" t="s">
        <v>54</v>
      </c>
      <c r="W248" s="9"/>
      <c r="X248" s="9"/>
    </row>
    <row r="249" spans="1:25" x14ac:dyDescent="0.2"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X249" s="9"/>
    </row>
    <row r="250" spans="1:25" x14ac:dyDescent="0.2"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W250" s="2"/>
      <c r="X250" s="2"/>
    </row>
    <row r="251" spans="1:25" x14ac:dyDescent="0.2"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W251" s="2"/>
      <c r="X251" s="2"/>
    </row>
    <row r="252" spans="1:25" ht="22.5" x14ac:dyDescent="0.3">
      <c r="B252" s="2"/>
      <c r="C252" s="2"/>
      <c r="D252" s="12" t="s">
        <v>66</v>
      </c>
      <c r="E252" s="11"/>
      <c r="F252" s="11"/>
      <c r="G252" s="11"/>
      <c r="H252" s="11"/>
      <c r="I252" s="11"/>
      <c r="J252" s="2"/>
      <c r="K252" s="4"/>
      <c r="L252" s="5"/>
      <c r="M252" s="2"/>
      <c r="N252" s="2"/>
      <c r="O252" s="2"/>
      <c r="P252" s="2"/>
      <c r="Q252" s="2"/>
      <c r="W252" s="2"/>
      <c r="X252" s="2"/>
    </row>
    <row r="253" spans="1:25" x14ac:dyDescent="0.2">
      <c r="B253" s="135"/>
      <c r="C253" s="2"/>
      <c r="D253" s="6"/>
      <c r="E253" s="2"/>
      <c r="F253" s="6"/>
      <c r="G253" s="2"/>
      <c r="H253" s="6"/>
      <c r="I253" s="6"/>
      <c r="J253" s="2"/>
      <c r="K253" s="2"/>
      <c r="L253" s="2"/>
      <c r="M253" s="2"/>
      <c r="N253" s="2" t="s">
        <v>60</v>
      </c>
      <c r="O253" s="2"/>
      <c r="P253" s="2"/>
      <c r="Q253" s="2" t="s">
        <v>60</v>
      </c>
      <c r="W253" s="4"/>
      <c r="X253" s="5"/>
    </row>
    <row r="254" spans="1:25" ht="21" thickBot="1" x14ac:dyDescent="0.35">
      <c r="B254" s="2"/>
      <c r="C254" s="2"/>
      <c r="D254" s="2"/>
      <c r="E254" s="2"/>
      <c r="F254" s="13"/>
      <c r="G254" s="2"/>
      <c r="H254" s="2"/>
      <c r="I254" s="2"/>
      <c r="J254" s="13" t="str">
        <f>$F$5</f>
        <v>Gross Revenue, Dollars</v>
      </c>
      <c r="K254" s="13"/>
      <c r="L254" s="2"/>
      <c r="M254" s="2"/>
      <c r="N254" s="2"/>
      <c r="O254" s="2"/>
      <c r="P254" s="2"/>
      <c r="Q254" s="2" t="s">
        <v>60</v>
      </c>
      <c r="W254" s="4">
        <f ca="1">NOW()</f>
        <v>42312.648458217591</v>
      </c>
      <c r="X254" s="5">
        <f ca="1">NOW()</f>
        <v>42312.648458217591</v>
      </c>
    </row>
    <row r="255" spans="1:25" x14ac:dyDescent="0.2">
      <c r="A255" s="14"/>
      <c r="B255" s="15"/>
      <c r="C255" s="15"/>
      <c r="D255" s="15"/>
      <c r="E255" s="15"/>
      <c r="F255" s="15"/>
      <c r="G255" s="15"/>
      <c r="H255" s="15"/>
      <c r="I255" s="15"/>
      <c r="J255" s="15"/>
      <c r="K255" s="15"/>
      <c r="L255" s="15"/>
      <c r="M255" s="15"/>
      <c r="N255" s="15"/>
      <c r="O255" s="15"/>
      <c r="P255" s="15"/>
      <c r="Q255" s="15"/>
      <c r="R255" s="16"/>
      <c r="S255" s="16"/>
      <c r="T255" s="16"/>
      <c r="U255" s="16"/>
      <c r="V255" s="16"/>
      <c r="W255" s="15"/>
      <c r="X255" s="17"/>
    </row>
    <row r="256" spans="1:25" ht="13.5" thickBot="1" x14ac:dyDescent="0.25">
      <c r="A256" s="18"/>
      <c r="B256"/>
      <c r="C256"/>
      <c r="D256" s="19" t="s">
        <v>67</v>
      </c>
      <c r="E256"/>
      <c r="F256"/>
      <c r="G256"/>
      <c r="H256" s="20"/>
      <c r="K256" s="21" t="s">
        <v>68</v>
      </c>
      <c r="Q256" s="2"/>
      <c r="W256" s="2"/>
      <c r="X256" s="22"/>
    </row>
    <row r="257" spans="1:25" ht="12.75" x14ac:dyDescent="0.2">
      <c r="A257" s="14"/>
      <c r="B257" s="23" t="s">
        <v>11</v>
      </c>
      <c r="C257" s="23" t="s">
        <v>12</v>
      </c>
      <c r="D257" s="23" t="s">
        <v>13</v>
      </c>
      <c r="E257" s="23" t="s">
        <v>14</v>
      </c>
      <c r="F257" s="23" t="s">
        <v>15</v>
      </c>
      <c r="G257" s="24" t="s">
        <v>16</v>
      </c>
      <c r="H257" s="23" t="s">
        <v>17</v>
      </c>
      <c r="I257" s="25"/>
      <c r="J257" s="25"/>
      <c r="K257" s="25"/>
      <c r="L257" s="25"/>
      <c r="M257" s="23" t="s">
        <v>18</v>
      </c>
      <c r="N257" s="23" t="s">
        <v>19</v>
      </c>
      <c r="O257" s="23" t="s">
        <v>20</v>
      </c>
      <c r="P257" s="23" t="s">
        <v>21</v>
      </c>
      <c r="Q257" s="24" t="s">
        <v>16</v>
      </c>
      <c r="R257" s="26" t="s">
        <v>69</v>
      </c>
      <c r="S257" s="26"/>
      <c r="T257" s="26"/>
      <c r="U257" s="26"/>
      <c r="V257" s="26"/>
      <c r="W257" s="24" t="s">
        <v>7</v>
      </c>
      <c r="X257" s="27" t="s">
        <v>70</v>
      </c>
      <c r="Y257" s="9"/>
    </row>
    <row r="258" spans="1:25" ht="13.5" thickBot="1" x14ac:dyDescent="0.25">
      <c r="A258" s="28"/>
      <c r="B258" s="29" t="s">
        <v>23</v>
      </c>
      <c r="C258" s="29" t="s">
        <v>24</v>
      </c>
      <c r="D258" s="29" t="s">
        <v>25</v>
      </c>
      <c r="E258" s="29" t="s">
        <v>26</v>
      </c>
      <c r="F258" s="29" t="s">
        <v>27</v>
      </c>
      <c r="G258" s="30" t="s">
        <v>28</v>
      </c>
      <c r="H258" s="29" t="s">
        <v>29</v>
      </c>
      <c r="I258" s="29" t="s">
        <v>30</v>
      </c>
      <c r="J258" s="29" t="s">
        <v>31</v>
      </c>
      <c r="K258" s="29" t="s">
        <v>32</v>
      </c>
      <c r="L258" s="29" t="s">
        <v>33</v>
      </c>
      <c r="M258" s="29" t="s">
        <v>34</v>
      </c>
      <c r="N258" s="29" t="s">
        <v>35</v>
      </c>
      <c r="O258" s="29" t="s">
        <v>36</v>
      </c>
      <c r="P258" s="29" t="s">
        <v>37</v>
      </c>
      <c r="Q258" s="30" t="s">
        <v>28</v>
      </c>
      <c r="R258" s="31" t="s">
        <v>62</v>
      </c>
      <c r="S258" s="31"/>
      <c r="T258" s="31"/>
      <c r="U258" s="31"/>
      <c r="V258" s="31"/>
      <c r="W258" s="30" t="s">
        <v>10</v>
      </c>
      <c r="X258" s="32" t="s">
        <v>71</v>
      </c>
    </row>
    <row r="259" spans="1:25" x14ac:dyDescent="0.2">
      <c r="A259" s="18"/>
      <c r="B259" s="33"/>
      <c r="C259" s="33"/>
      <c r="D259" s="33"/>
      <c r="E259" s="33"/>
      <c r="F259" s="33"/>
      <c r="G259" s="34"/>
      <c r="H259" s="33"/>
      <c r="I259" s="33"/>
      <c r="J259" s="33"/>
      <c r="K259" s="33"/>
      <c r="L259" s="33"/>
      <c r="M259" s="33"/>
      <c r="N259" s="33"/>
      <c r="O259" s="33"/>
      <c r="P259" s="33"/>
      <c r="Q259" s="34"/>
      <c r="R259" s="35"/>
      <c r="S259" s="35"/>
      <c r="T259" s="35"/>
      <c r="U259" s="35"/>
      <c r="V259" s="35"/>
      <c r="W259" s="34"/>
      <c r="X259" s="36"/>
    </row>
    <row r="260" spans="1:25" ht="12.75" x14ac:dyDescent="0.2">
      <c r="A260" s="37" t="s">
        <v>41</v>
      </c>
      <c r="B260" s="38">
        <v>0</v>
      </c>
      <c r="C260" s="38">
        <v>103773.6</v>
      </c>
      <c r="D260" s="38">
        <v>102312</v>
      </c>
      <c r="E260" s="38">
        <v>0</v>
      </c>
      <c r="F260" s="38">
        <v>92324.4</v>
      </c>
      <c r="G260" s="39">
        <f>SUM(B260:F260)</f>
        <v>298410</v>
      </c>
      <c r="H260" s="38">
        <v>0</v>
      </c>
      <c r="I260" s="38">
        <v>0</v>
      </c>
      <c r="J260" s="38">
        <v>71078.3</v>
      </c>
      <c r="K260" s="38">
        <v>68731.070000000007</v>
      </c>
      <c r="L260" s="38">
        <v>0</v>
      </c>
      <c r="M260" s="38">
        <v>24847.42</v>
      </c>
      <c r="N260" s="38">
        <v>39786.89</v>
      </c>
      <c r="O260" s="38">
        <v>78102.28</v>
      </c>
      <c r="P260" s="38">
        <v>0</v>
      </c>
      <c r="Q260" s="39">
        <f>SUM(H260:P260)</f>
        <v>282545.95999999996</v>
      </c>
      <c r="R260" s="40">
        <v>0</v>
      </c>
      <c r="S260" s="40"/>
      <c r="T260" s="40"/>
      <c r="U260" s="40"/>
      <c r="V260" s="40"/>
      <c r="W260" s="39">
        <f>Q260+G260+R260</f>
        <v>580955.96</v>
      </c>
      <c r="X260" s="41"/>
      <c r="Y260" s="9"/>
    </row>
    <row r="261" spans="1:25" ht="12.75" x14ac:dyDescent="0.2">
      <c r="A261" s="37" t="s">
        <v>42</v>
      </c>
      <c r="B261" s="38">
        <f t="shared" ref="B261:Q261" si="60">B244+B260-B210</f>
        <v>10752</v>
      </c>
      <c r="C261" s="38">
        <f t="shared" si="60"/>
        <v>1483053.6</v>
      </c>
      <c r="D261" s="38">
        <f t="shared" si="60"/>
        <v>889268.00000000023</v>
      </c>
      <c r="E261" s="38">
        <f t="shared" si="60"/>
        <v>630444.47999999952</v>
      </c>
      <c r="F261" s="38">
        <f t="shared" si="60"/>
        <v>1128618.3199999991</v>
      </c>
      <c r="G261" s="39">
        <f t="shared" si="60"/>
        <v>4142136.4000000004</v>
      </c>
      <c r="H261" s="38">
        <f t="shared" si="60"/>
        <v>100374.22000000034</v>
      </c>
      <c r="I261" s="38">
        <f t="shared" si="60"/>
        <v>2.1827872842550278E-10</v>
      </c>
      <c r="J261" s="38">
        <f t="shared" si="60"/>
        <v>888672.64</v>
      </c>
      <c r="K261" s="38">
        <f t="shared" si="60"/>
        <v>869502.95999999973</v>
      </c>
      <c r="L261" s="38">
        <f t="shared" si="60"/>
        <v>709759.67000000016</v>
      </c>
      <c r="M261" s="38">
        <f t="shared" si="60"/>
        <v>346582.02000000031</v>
      </c>
      <c r="N261" s="38">
        <f t="shared" si="60"/>
        <v>769554.08999999985</v>
      </c>
      <c r="O261" s="38">
        <f t="shared" si="60"/>
        <v>1255761.8599999999</v>
      </c>
      <c r="P261" s="38">
        <f t="shared" si="60"/>
        <v>348.43000000004031</v>
      </c>
      <c r="Q261" s="39">
        <f t="shared" si="60"/>
        <v>4940555.8899999997</v>
      </c>
      <c r="R261" s="38">
        <f>R244+R260-R210</f>
        <v>509924.85000000003</v>
      </c>
      <c r="S261" s="38"/>
      <c r="T261" s="38"/>
      <c r="U261" s="38"/>
      <c r="V261" s="38"/>
      <c r="W261" s="39">
        <f>W244+W260-W210</f>
        <v>9592617.1399999931</v>
      </c>
      <c r="X261" s="41">
        <f>W260+X244</f>
        <v>213043427.51999998</v>
      </c>
    </row>
    <row r="262" spans="1:25" ht="12.75" x14ac:dyDescent="0.2">
      <c r="A262" s="42"/>
      <c r="B262" s="38"/>
      <c r="C262" s="38"/>
      <c r="D262" s="38"/>
      <c r="E262" s="38"/>
      <c r="F262" s="38"/>
      <c r="G262" s="39"/>
      <c r="H262" s="38"/>
      <c r="I262" s="38"/>
      <c r="J262" s="38"/>
      <c r="K262" s="38"/>
      <c r="L262" s="38"/>
      <c r="M262" s="38"/>
      <c r="N262" s="38"/>
      <c r="O262" s="38"/>
      <c r="P262" s="38"/>
      <c r="Q262" s="39" t="s">
        <v>60</v>
      </c>
      <c r="R262" s="43"/>
      <c r="S262" s="43"/>
      <c r="T262" s="43"/>
      <c r="U262" s="43"/>
      <c r="V262" s="43"/>
      <c r="W262" s="39"/>
      <c r="X262" s="41"/>
      <c r="Y262" s="9"/>
    </row>
    <row r="263" spans="1:25" ht="12.75" x14ac:dyDescent="0.2">
      <c r="A263" s="37" t="s">
        <v>43</v>
      </c>
      <c r="B263" s="38">
        <v>0</v>
      </c>
      <c r="C263" s="38">
        <v>102799.2</v>
      </c>
      <c r="D263" s="38">
        <v>66746.399999999994</v>
      </c>
      <c r="E263" s="38">
        <v>0</v>
      </c>
      <c r="F263" s="38">
        <v>63823.199999999997</v>
      </c>
      <c r="G263" s="39">
        <v>233368.8</v>
      </c>
      <c r="H263" s="38">
        <v>0</v>
      </c>
      <c r="I263" s="38">
        <v>0</v>
      </c>
      <c r="J263" s="38">
        <v>65598.61</v>
      </c>
      <c r="K263" s="38">
        <v>63396.58</v>
      </c>
      <c r="L263" s="38">
        <v>0</v>
      </c>
      <c r="M263" s="38">
        <v>19690.02</v>
      </c>
      <c r="N263" s="38">
        <v>54208.68</v>
      </c>
      <c r="O263" s="38">
        <v>50157.82</v>
      </c>
      <c r="P263" s="38">
        <v>0</v>
      </c>
      <c r="Q263" s="39">
        <f>SUM(H263:P263)</f>
        <v>253051.71</v>
      </c>
      <c r="R263" s="40">
        <v>0</v>
      </c>
      <c r="S263" s="40"/>
      <c r="T263" s="40"/>
      <c r="U263" s="40"/>
      <c r="V263" s="40"/>
      <c r="W263" s="39">
        <f>Q263+G263+R263</f>
        <v>486420.51</v>
      </c>
      <c r="X263" s="41"/>
      <c r="Y263" s="9"/>
    </row>
    <row r="264" spans="1:25" ht="12.75" x14ac:dyDescent="0.2">
      <c r="A264" s="37" t="s">
        <v>42</v>
      </c>
      <c r="B264" s="38">
        <f t="shared" ref="B264:Q264" si="61">B261+B263-B213</f>
        <v>10752</v>
      </c>
      <c r="C264" s="38">
        <f t="shared" si="61"/>
        <v>1457692.8</v>
      </c>
      <c r="D264" s="38">
        <f t="shared" si="61"/>
        <v>950254.40000000026</v>
      </c>
      <c r="E264" s="38">
        <f t="shared" si="61"/>
        <v>630444.47999999952</v>
      </c>
      <c r="F264" s="38">
        <f t="shared" si="61"/>
        <v>1154281.5199999991</v>
      </c>
      <c r="G264" s="39">
        <f t="shared" si="61"/>
        <v>4203425.2</v>
      </c>
      <c r="H264" s="38">
        <f t="shared" si="61"/>
        <v>100374.22000000034</v>
      </c>
      <c r="I264" s="38">
        <f t="shared" si="61"/>
        <v>2.1827872842550278E-10</v>
      </c>
      <c r="J264" s="38">
        <f t="shared" si="61"/>
        <v>899371.7</v>
      </c>
      <c r="K264" s="38">
        <f t="shared" si="61"/>
        <v>881179.44999999972</v>
      </c>
      <c r="L264" s="38">
        <f t="shared" si="61"/>
        <v>709759.67000000016</v>
      </c>
      <c r="M264" s="38">
        <f t="shared" si="61"/>
        <v>366272.04000000033</v>
      </c>
      <c r="N264" s="38">
        <f t="shared" si="61"/>
        <v>779987.82</v>
      </c>
      <c r="O264" s="38">
        <f t="shared" si="61"/>
        <v>1264051.8199999998</v>
      </c>
      <c r="P264" s="38">
        <f t="shared" si="61"/>
        <v>348.43000000004031</v>
      </c>
      <c r="Q264" s="39">
        <f t="shared" si="61"/>
        <v>5001345.1499999994</v>
      </c>
      <c r="R264" s="38">
        <f>R261+R263-R213</f>
        <v>509924.85000000003</v>
      </c>
      <c r="S264" s="38"/>
      <c r="T264" s="38"/>
      <c r="U264" s="38"/>
      <c r="V264" s="38"/>
      <c r="W264" s="39">
        <f>W261+W263-W213</f>
        <v>9714695.1999999937</v>
      </c>
      <c r="X264" s="41">
        <f>W263+X261</f>
        <v>213529848.02999997</v>
      </c>
    </row>
    <row r="265" spans="1:25" ht="12.75" x14ac:dyDescent="0.2">
      <c r="A265" s="42"/>
      <c r="B265" s="44"/>
      <c r="C265" s="44"/>
      <c r="D265" s="44"/>
      <c r="E265" s="44"/>
      <c r="F265" s="44"/>
      <c r="G265" s="45"/>
      <c r="H265" s="44"/>
      <c r="I265" s="44"/>
      <c r="J265" s="44"/>
      <c r="K265" s="44"/>
      <c r="L265" s="44"/>
      <c r="M265" s="44"/>
      <c r="N265" s="44"/>
      <c r="O265" s="44"/>
      <c r="P265" s="44"/>
      <c r="Q265" s="45"/>
      <c r="R265" s="43"/>
      <c r="S265" s="43"/>
      <c r="T265" s="43"/>
      <c r="U265" s="43"/>
      <c r="V265" s="43"/>
      <c r="W265" s="45"/>
      <c r="X265" s="46"/>
    </row>
    <row r="266" spans="1:25" ht="12.75" x14ac:dyDescent="0.2">
      <c r="A266" s="37" t="s">
        <v>44</v>
      </c>
      <c r="B266" s="38">
        <v>0</v>
      </c>
      <c r="C266" s="38">
        <v>124723.2</v>
      </c>
      <c r="D266" s="38">
        <v>76003.199999999997</v>
      </c>
      <c r="E266" s="38">
        <v>0</v>
      </c>
      <c r="F266" s="38">
        <v>71618.399999999994</v>
      </c>
      <c r="G266" s="39">
        <f>SUM(B266:F266)</f>
        <v>272344.8</v>
      </c>
      <c r="H266" s="38">
        <v>0</v>
      </c>
      <c r="I266" s="38">
        <v>0</v>
      </c>
      <c r="J266" s="38">
        <v>64912.13</v>
      </c>
      <c r="K266" s="38">
        <v>68677.710000000006</v>
      </c>
      <c r="L266" s="38">
        <v>0</v>
      </c>
      <c r="M266" s="38">
        <v>26076.86</v>
      </c>
      <c r="N266" s="38">
        <v>53484.21</v>
      </c>
      <c r="O266" s="38">
        <v>45605.33</v>
      </c>
      <c r="P266" s="38">
        <v>0</v>
      </c>
      <c r="Q266" s="39">
        <f>SUM(H266:P266)</f>
        <v>258756.24</v>
      </c>
      <c r="R266" s="40">
        <v>0</v>
      </c>
      <c r="S266" s="40"/>
      <c r="T266" s="40"/>
      <c r="U266" s="40"/>
      <c r="V266" s="40"/>
      <c r="W266" s="39">
        <f>Q266+G266+R266</f>
        <v>531101.04</v>
      </c>
      <c r="X266" s="41"/>
      <c r="Y266" s="9"/>
    </row>
    <row r="267" spans="1:25" ht="12.75" x14ac:dyDescent="0.2">
      <c r="A267" s="37" t="s">
        <v>42</v>
      </c>
      <c r="B267" s="38">
        <f t="shared" ref="B267:Q267" si="62">B264+B266-B216</f>
        <v>10752</v>
      </c>
      <c r="C267" s="38">
        <f t="shared" si="62"/>
        <v>1443936</v>
      </c>
      <c r="D267" s="38">
        <f t="shared" si="62"/>
        <v>1026257.6000000002</v>
      </c>
      <c r="E267" s="38">
        <f t="shared" si="62"/>
        <v>630444.47999999952</v>
      </c>
      <c r="F267" s="38">
        <f t="shared" si="62"/>
        <v>1172139.919999999</v>
      </c>
      <c r="G267" s="39">
        <f t="shared" si="62"/>
        <v>4283530</v>
      </c>
      <c r="H267" s="38">
        <f t="shared" si="62"/>
        <v>100374.22000000034</v>
      </c>
      <c r="I267" s="38">
        <f t="shared" si="62"/>
        <v>2.1827872842550278E-10</v>
      </c>
      <c r="J267" s="38">
        <f t="shared" si="62"/>
        <v>899034.86</v>
      </c>
      <c r="K267" s="38">
        <f t="shared" si="62"/>
        <v>887108.35999999964</v>
      </c>
      <c r="L267" s="38">
        <f t="shared" si="62"/>
        <v>709759.67000000016</v>
      </c>
      <c r="M267" s="38">
        <f t="shared" si="62"/>
        <v>392348.90000000031</v>
      </c>
      <c r="N267" s="38">
        <f t="shared" si="62"/>
        <v>782097.2</v>
      </c>
      <c r="O267" s="38">
        <f t="shared" si="62"/>
        <v>1309657.1499999999</v>
      </c>
      <c r="P267" s="38">
        <f t="shared" si="62"/>
        <v>348.43000000004031</v>
      </c>
      <c r="Q267" s="39">
        <f t="shared" si="62"/>
        <v>5080728.79</v>
      </c>
      <c r="R267" s="38">
        <f>R264+R266-R216</f>
        <v>509924.85000000003</v>
      </c>
      <c r="S267" s="38"/>
      <c r="T267" s="38"/>
      <c r="U267" s="38"/>
      <c r="V267" s="38"/>
      <c r="W267" s="39">
        <f>W264+W266-W216</f>
        <v>9874183.639999995</v>
      </c>
      <c r="X267" s="41">
        <f>W266+X264</f>
        <v>214060949.06999996</v>
      </c>
    </row>
    <row r="268" spans="1:25" ht="12.75" x14ac:dyDescent="0.2">
      <c r="A268" s="42"/>
      <c r="B268" s="43"/>
      <c r="C268" s="43"/>
      <c r="D268" s="43"/>
      <c r="E268" s="43"/>
      <c r="F268" s="43"/>
      <c r="G268" s="47"/>
      <c r="H268" s="43"/>
      <c r="I268" s="43"/>
      <c r="J268" s="43"/>
      <c r="K268" s="43"/>
      <c r="L268" s="43"/>
      <c r="M268" s="43"/>
      <c r="N268" s="43"/>
      <c r="O268" s="43"/>
      <c r="P268" s="43"/>
      <c r="Q268" s="47"/>
      <c r="R268" s="43"/>
      <c r="S268" s="43"/>
      <c r="T268" s="43"/>
      <c r="U268" s="43"/>
      <c r="V268" s="43"/>
      <c r="W268" s="47"/>
      <c r="X268" s="46"/>
    </row>
    <row r="269" spans="1:25" ht="12.75" x14ac:dyDescent="0.2">
      <c r="A269" s="37" t="s">
        <v>45</v>
      </c>
      <c r="B269" s="38">
        <v>0</v>
      </c>
      <c r="C269" s="38">
        <v>140557.20000000001</v>
      </c>
      <c r="D269" s="38">
        <v>145672.79999999999</v>
      </c>
      <c r="E269" s="38">
        <v>222163.20000000001</v>
      </c>
      <c r="F269" s="38">
        <v>117415.2</v>
      </c>
      <c r="G269" s="39">
        <f>SUM(B269:F269)</f>
        <v>625808.4</v>
      </c>
      <c r="H269" s="38">
        <v>50790.36</v>
      </c>
      <c r="I269" s="38">
        <v>0</v>
      </c>
      <c r="J269" s="38">
        <v>67702.61</v>
      </c>
      <c r="K269" s="38">
        <v>67861.08</v>
      </c>
      <c r="L269" s="38">
        <v>105407.38</v>
      </c>
      <c r="M269" s="38">
        <v>28954.1</v>
      </c>
      <c r="N269" s="38">
        <v>46616.56</v>
      </c>
      <c r="O269" s="38">
        <v>120416.71</v>
      </c>
      <c r="P269" s="38">
        <v>0</v>
      </c>
      <c r="Q269" s="39">
        <f>SUM(H269:P269)</f>
        <v>487748.8</v>
      </c>
      <c r="R269" s="38">
        <v>53875.15</v>
      </c>
      <c r="S269" s="38"/>
      <c r="T269" s="38"/>
      <c r="U269" s="38"/>
      <c r="V269" s="38"/>
      <c r="W269" s="39">
        <f>Q269+G269+R269</f>
        <v>1167432.3499999999</v>
      </c>
      <c r="X269" s="41"/>
      <c r="Y269" s="9"/>
    </row>
    <row r="270" spans="1:25" ht="12.75" x14ac:dyDescent="0.2">
      <c r="A270" s="37" t="s">
        <v>42</v>
      </c>
      <c r="B270" s="38">
        <f t="shared" ref="B270:Q270" si="63">B267+B269-B219</f>
        <v>10752</v>
      </c>
      <c r="C270" s="38">
        <f t="shared" si="63"/>
        <v>1449373.2</v>
      </c>
      <c r="D270" s="38">
        <f t="shared" si="63"/>
        <v>1130170.4000000001</v>
      </c>
      <c r="E270" s="38">
        <f t="shared" si="63"/>
        <v>732007.67999999947</v>
      </c>
      <c r="F270" s="38">
        <f t="shared" si="63"/>
        <v>1183955.1199999989</v>
      </c>
      <c r="G270" s="39">
        <f t="shared" si="63"/>
        <v>4506258.4000000004</v>
      </c>
      <c r="H270" s="38">
        <f t="shared" si="63"/>
        <v>151164.58000000034</v>
      </c>
      <c r="I270" s="38">
        <f t="shared" si="63"/>
        <v>2.1827872842550278E-10</v>
      </c>
      <c r="J270" s="38">
        <f t="shared" si="63"/>
        <v>899394.35</v>
      </c>
      <c r="K270" s="38">
        <f t="shared" si="63"/>
        <v>890036.03999999957</v>
      </c>
      <c r="L270" s="38">
        <f t="shared" si="63"/>
        <v>772341.02000000014</v>
      </c>
      <c r="M270" s="38">
        <f t="shared" si="63"/>
        <v>391341.6300000003</v>
      </c>
      <c r="N270" s="38">
        <f t="shared" si="63"/>
        <v>782790.58</v>
      </c>
      <c r="O270" s="38">
        <f t="shared" si="63"/>
        <v>1407778.67</v>
      </c>
      <c r="P270" s="38">
        <f t="shared" si="63"/>
        <v>348.43000000004031</v>
      </c>
      <c r="Q270" s="39">
        <f t="shared" si="63"/>
        <v>5295195.3</v>
      </c>
      <c r="R270" s="38">
        <f>R267+R269-R219</f>
        <v>563800</v>
      </c>
      <c r="S270" s="38"/>
      <c r="T270" s="38"/>
      <c r="U270" s="38"/>
      <c r="V270" s="38"/>
      <c r="W270" s="39">
        <f>W267+W269-W219</f>
        <v>10365253.699999996</v>
      </c>
      <c r="X270" s="41">
        <f>W269+X267</f>
        <v>215228381.41999996</v>
      </c>
    </row>
    <row r="271" spans="1:25" ht="12.75" x14ac:dyDescent="0.2">
      <c r="A271" s="42"/>
      <c r="B271" s="44"/>
      <c r="C271" s="44"/>
      <c r="D271" s="44"/>
      <c r="E271" s="44"/>
      <c r="F271" s="44"/>
      <c r="G271" s="45"/>
      <c r="H271" s="44"/>
      <c r="I271" s="44"/>
      <c r="J271" s="44"/>
      <c r="K271" s="44"/>
      <c r="L271" s="44"/>
      <c r="M271" s="44"/>
      <c r="N271" s="44"/>
      <c r="O271" s="44"/>
      <c r="P271" s="44"/>
      <c r="Q271" s="45"/>
      <c r="R271" s="43"/>
      <c r="S271" s="43"/>
      <c r="T271" s="43"/>
      <c r="U271" s="43"/>
      <c r="V271" s="43"/>
      <c r="W271" s="45"/>
      <c r="X271" s="46"/>
    </row>
    <row r="272" spans="1:25" ht="12.75" x14ac:dyDescent="0.2">
      <c r="A272" s="37" t="s">
        <v>46</v>
      </c>
      <c r="B272" s="38">
        <v>0</v>
      </c>
      <c r="C272" s="38">
        <v>144211.20000000001</v>
      </c>
      <c r="D272" s="38">
        <v>136903.20000000001</v>
      </c>
      <c r="E272" s="38">
        <v>219970.8</v>
      </c>
      <c r="F272" s="38">
        <v>121800</v>
      </c>
      <c r="G272" s="39">
        <f>SUM(B272:F272)</f>
        <v>622885.19999999995</v>
      </c>
      <c r="H272" s="38">
        <v>60930.59</v>
      </c>
      <c r="I272" s="38">
        <v>0</v>
      </c>
      <c r="J272" s="38">
        <v>68695.33</v>
      </c>
      <c r="K272" s="38">
        <v>66509.429999999993</v>
      </c>
      <c r="L272" s="38">
        <v>70559.520000000004</v>
      </c>
      <c r="M272" s="38">
        <v>35670.080000000002</v>
      </c>
      <c r="N272" s="38">
        <v>43525.17</v>
      </c>
      <c r="O272" s="38">
        <v>123777.39</v>
      </c>
      <c r="P272" s="38">
        <v>0</v>
      </c>
      <c r="Q272" s="39">
        <f>SUM(H272:P272)</f>
        <v>469667.51</v>
      </c>
      <c r="R272" s="38">
        <v>71002.55</v>
      </c>
      <c r="S272" s="38"/>
      <c r="T272" s="38"/>
      <c r="U272" s="38"/>
      <c r="V272" s="38"/>
      <c r="W272" s="39">
        <f>Q272+G272+R272</f>
        <v>1163555.26</v>
      </c>
      <c r="X272" s="41"/>
      <c r="Y272" s="9"/>
    </row>
    <row r="273" spans="1:25" ht="12.75" x14ac:dyDescent="0.2">
      <c r="A273" s="37" t="s">
        <v>42</v>
      </c>
      <c r="B273" s="38">
        <f t="shared" ref="B273:Q273" si="64">B270+B272-B222</f>
        <v>10752</v>
      </c>
      <c r="C273" s="38">
        <f t="shared" si="64"/>
        <v>1458464.4</v>
      </c>
      <c r="D273" s="38">
        <f t="shared" si="64"/>
        <v>1232033.6000000001</v>
      </c>
      <c r="E273" s="38">
        <f t="shared" si="64"/>
        <v>865938.47999999952</v>
      </c>
      <c r="F273" s="38">
        <f t="shared" si="64"/>
        <v>1183115.1199999989</v>
      </c>
      <c r="G273" s="39">
        <f t="shared" si="64"/>
        <v>4750303.6000000006</v>
      </c>
      <c r="H273" s="38">
        <f t="shared" si="64"/>
        <v>212095.17000000033</v>
      </c>
      <c r="I273" s="38">
        <f t="shared" si="64"/>
        <v>2.1827872842550278E-10</v>
      </c>
      <c r="J273" s="38">
        <f t="shared" si="64"/>
        <v>910761.71</v>
      </c>
      <c r="K273" s="38">
        <f t="shared" si="64"/>
        <v>903037.62999999954</v>
      </c>
      <c r="L273" s="38">
        <f t="shared" si="64"/>
        <v>805713.28000000014</v>
      </c>
      <c r="M273" s="38">
        <f t="shared" si="64"/>
        <v>403039.81000000029</v>
      </c>
      <c r="N273" s="38">
        <f t="shared" si="64"/>
        <v>771480.89</v>
      </c>
      <c r="O273" s="38">
        <f t="shared" si="64"/>
        <v>1480087.2199999997</v>
      </c>
      <c r="P273" s="38">
        <f t="shared" si="64"/>
        <v>348.43000000004031</v>
      </c>
      <c r="Q273" s="39">
        <f t="shared" si="64"/>
        <v>5486564.1399999997</v>
      </c>
      <c r="R273" s="38">
        <f>R270+R272-R222</f>
        <v>598024.02</v>
      </c>
      <c r="S273" s="38"/>
      <c r="T273" s="38"/>
      <c r="U273" s="38"/>
      <c r="V273" s="38"/>
      <c r="W273" s="39">
        <f>W270+W272-W222</f>
        <v>10834891.759999996</v>
      </c>
      <c r="X273" s="41">
        <f>W272+X270</f>
        <v>216391936.67999995</v>
      </c>
    </row>
    <row r="274" spans="1:25" ht="12.75" x14ac:dyDescent="0.2">
      <c r="A274" s="42"/>
      <c r="B274" s="44"/>
      <c r="C274" s="44"/>
      <c r="D274" s="44"/>
      <c r="E274" s="44"/>
      <c r="F274" s="44"/>
      <c r="G274" s="45"/>
      <c r="H274" s="44"/>
      <c r="I274" s="44"/>
      <c r="J274" s="44"/>
      <c r="K274" s="44"/>
      <c r="L274" s="44"/>
      <c r="M274" s="44"/>
      <c r="N274" s="44"/>
      <c r="O274" s="44"/>
      <c r="P274" s="44"/>
      <c r="Q274" s="45"/>
      <c r="R274" s="43"/>
      <c r="S274" s="43"/>
      <c r="T274" s="43"/>
      <c r="U274" s="43"/>
      <c r="V274" s="43"/>
      <c r="W274" s="45"/>
      <c r="X274" s="46"/>
    </row>
    <row r="275" spans="1:25" ht="12.75" x14ac:dyDescent="0.2">
      <c r="A275" s="37" t="s">
        <v>47</v>
      </c>
      <c r="B275" s="38">
        <v>0</v>
      </c>
      <c r="C275" s="38">
        <v>138938.72</v>
      </c>
      <c r="D275" s="38">
        <v>137444.64000000001</v>
      </c>
      <c r="E275" s="38">
        <v>101960.89</v>
      </c>
      <c r="F275" s="38">
        <v>96201.5</v>
      </c>
      <c r="G275" s="39">
        <f>SUM(B275:F275)</f>
        <v>474545.75</v>
      </c>
      <c r="H275" s="38">
        <v>108349.58</v>
      </c>
      <c r="I275" s="38">
        <v>0</v>
      </c>
      <c r="J275" s="38">
        <v>104149.8</v>
      </c>
      <c r="K275" s="38">
        <v>103662.15</v>
      </c>
      <c r="L275" s="38">
        <v>149498.79</v>
      </c>
      <c r="M275" s="38">
        <v>51690.78</v>
      </c>
      <c r="N275" s="38">
        <v>79026.05</v>
      </c>
      <c r="O275" s="38">
        <v>199242.79</v>
      </c>
      <c r="P275" s="38">
        <v>0</v>
      </c>
      <c r="Q275" s="39">
        <f>SUM(H275:P275)</f>
        <v>795619.94000000018</v>
      </c>
      <c r="R275" s="38">
        <v>75208.61</v>
      </c>
      <c r="S275" s="38"/>
      <c r="T275" s="38"/>
      <c r="U275" s="38"/>
      <c r="V275" s="38"/>
      <c r="W275" s="39">
        <f>Q275+G275+R275</f>
        <v>1345374.3000000003</v>
      </c>
      <c r="X275" s="41"/>
      <c r="Y275" s="9"/>
    </row>
    <row r="276" spans="1:25" ht="12.75" x14ac:dyDescent="0.2">
      <c r="A276" s="37" t="s">
        <v>42</v>
      </c>
      <c r="B276" s="38">
        <f t="shared" ref="B276:Q276" si="65">B273+B275-B225</f>
        <v>10752</v>
      </c>
      <c r="C276" s="38">
        <f t="shared" si="65"/>
        <v>1463243.1199999999</v>
      </c>
      <c r="D276" s="38">
        <f t="shared" si="65"/>
        <v>1292198.2400000002</v>
      </c>
      <c r="E276" s="38">
        <f t="shared" si="65"/>
        <v>903374.88999999955</v>
      </c>
      <c r="F276" s="38">
        <f t="shared" si="65"/>
        <v>1189796.6199999989</v>
      </c>
      <c r="G276" s="39">
        <f t="shared" si="65"/>
        <v>4859364.870000001</v>
      </c>
      <c r="H276" s="38">
        <f t="shared" si="65"/>
        <v>320444.75000000035</v>
      </c>
      <c r="I276" s="38">
        <f t="shared" si="65"/>
        <v>2.1827872842550278E-10</v>
      </c>
      <c r="J276" s="38">
        <f t="shared" si="65"/>
        <v>912813.83000000007</v>
      </c>
      <c r="K276" s="38">
        <f t="shared" si="65"/>
        <v>909172.30999999959</v>
      </c>
      <c r="L276" s="38">
        <f t="shared" si="65"/>
        <v>797852.04000000015</v>
      </c>
      <c r="M276" s="38">
        <f t="shared" si="65"/>
        <v>406655.29000000033</v>
      </c>
      <c r="N276" s="38">
        <f t="shared" si="65"/>
        <v>762075.8</v>
      </c>
      <c r="O276" s="38">
        <f t="shared" si="65"/>
        <v>1510591.4699999997</v>
      </c>
      <c r="P276" s="38">
        <f t="shared" si="65"/>
        <v>4.0301983972312883E-11</v>
      </c>
      <c r="Q276" s="39">
        <f t="shared" si="65"/>
        <v>5619605.4900000002</v>
      </c>
      <c r="R276" s="38">
        <f>R273+R275-R225</f>
        <v>599762.75</v>
      </c>
      <c r="S276" s="38"/>
      <c r="T276" s="38"/>
      <c r="U276" s="38"/>
      <c r="V276" s="38"/>
      <c r="W276" s="39">
        <f>W273+W275-W225</f>
        <v>11078733.109999996</v>
      </c>
      <c r="X276" s="41">
        <f>W275+X273</f>
        <v>217737310.97999996</v>
      </c>
    </row>
    <row r="277" spans="1:25" ht="12.75" x14ac:dyDescent="0.2">
      <c r="A277" s="42"/>
      <c r="B277" s="43"/>
      <c r="C277" s="43"/>
      <c r="D277" s="43"/>
      <c r="E277" s="43"/>
      <c r="F277" s="43"/>
      <c r="G277" s="47"/>
      <c r="H277" s="43"/>
      <c r="I277" s="43"/>
      <c r="J277" s="43"/>
      <c r="K277" s="43"/>
      <c r="L277" s="43"/>
      <c r="M277" s="43"/>
      <c r="N277" s="43"/>
      <c r="O277" s="43"/>
      <c r="P277" s="43"/>
      <c r="Q277" s="47"/>
      <c r="R277" s="43"/>
      <c r="S277" s="43"/>
      <c r="T277" s="43"/>
      <c r="U277" s="43"/>
      <c r="V277" s="43"/>
      <c r="W277" s="47"/>
      <c r="X277" s="46"/>
    </row>
    <row r="278" spans="1:25" ht="12.75" x14ac:dyDescent="0.2">
      <c r="A278" s="37" t="s">
        <v>48</v>
      </c>
      <c r="B278" s="38">
        <v>0</v>
      </c>
      <c r="C278" s="38">
        <v>136172.4</v>
      </c>
      <c r="D278" s="38">
        <v>160776</v>
      </c>
      <c r="E278" s="38">
        <v>185623.2</v>
      </c>
      <c r="F278" s="38">
        <v>125454</v>
      </c>
      <c r="G278" s="39">
        <f>SUM(B278:F278)</f>
        <v>608025.60000000009</v>
      </c>
      <c r="H278" s="38">
        <v>102891.75</v>
      </c>
      <c r="I278" s="38">
        <v>0</v>
      </c>
      <c r="J278" s="38">
        <v>77518.179999999993</v>
      </c>
      <c r="K278" s="38">
        <v>83866.67</v>
      </c>
      <c r="L278" s="38">
        <v>161550.17000000001</v>
      </c>
      <c r="M278" s="38">
        <v>48648.06</v>
      </c>
      <c r="N278" s="38">
        <v>87527.49</v>
      </c>
      <c r="O278" s="38">
        <v>192349.21</v>
      </c>
      <c r="P278" s="38">
        <v>0</v>
      </c>
      <c r="Q278" s="39">
        <f>SUM(H278:P278)</f>
        <v>754351.53</v>
      </c>
      <c r="R278" s="38">
        <v>176068.12</v>
      </c>
      <c r="S278" s="38"/>
      <c r="T278" s="38"/>
      <c r="U278" s="38"/>
      <c r="V278" s="38"/>
      <c r="W278" s="39">
        <f>Q278+G278+R278</f>
        <v>1538445.25</v>
      </c>
      <c r="X278" s="41"/>
      <c r="Y278" s="9"/>
    </row>
    <row r="279" spans="1:25" ht="12.75" x14ac:dyDescent="0.2">
      <c r="A279" s="37" t="s">
        <v>42</v>
      </c>
      <c r="B279" s="38">
        <f t="shared" ref="B279:Q279" si="66">B276+B278-B228</f>
        <v>10752</v>
      </c>
      <c r="C279" s="38">
        <f t="shared" si="66"/>
        <v>1457575.5199999998</v>
      </c>
      <c r="D279" s="38">
        <f t="shared" si="66"/>
        <v>1343778.2400000002</v>
      </c>
      <c r="E279" s="38">
        <f t="shared" si="66"/>
        <v>1002958.0899999996</v>
      </c>
      <c r="F279" s="38">
        <f t="shared" si="66"/>
        <v>1208476.699999999</v>
      </c>
      <c r="G279" s="39">
        <f t="shared" si="66"/>
        <v>5023540.5500000007</v>
      </c>
      <c r="H279" s="38">
        <f t="shared" si="66"/>
        <v>392259.09000000037</v>
      </c>
      <c r="I279" s="38">
        <f t="shared" si="66"/>
        <v>2.1827872842550278E-10</v>
      </c>
      <c r="J279" s="38">
        <f t="shared" si="66"/>
        <v>887878.05</v>
      </c>
      <c r="K279" s="38">
        <f t="shared" si="66"/>
        <v>892905.41999999969</v>
      </c>
      <c r="L279" s="38">
        <f t="shared" si="66"/>
        <v>797409.80000000016</v>
      </c>
      <c r="M279" s="38">
        <f t="shared" si="66"/>
        <v>403591.13000000035</v>
      </c>
      <c r="N279" s="38">
        <f t="shared" si="66"/>
        <v>755792.19000000006</v>
      </c>
      <c r="O279" s="38">
        <f t="shared" si="66"/>
        <v>1513790.1299999997</v>
      </c>
      <c r="P279" s="38">
        <f t="shared" si="66"/>
        <v>4.0301983972312883E-11</v>
      </c>
      <c r="Q279" s="39">
        <f t="shared" si="66"/>
        <v>5643625.8100000005</v>
      </c>
      <c r="R279" s="38">
        <f>R276+R278-R228</f>
        <v>572262.38</v>
      </c>
      <c r="S279" s="38"/>
      <c r="T279" s="38"/>
      <c r="U279" s="38"/>
      <c r="V279" s="38"/>
      <c r="W279" s="39">
        <f>W276+W278-W228</f>
        <v>11239428.739999996</v>
      </c>
      <c r="X279" s="41">
        <f>W278+X276</f>
        <v>219275756.22999996</v>
      </c>
    </row>
    <row r="280" spans="1:25" ht="12.75" x14ac:dyDescent="0.2">
      <c r="A280" s="42"/>
      <c r="B280" s="44"/>
      <c r="C280" s="44"/>
      <c r="D280" s="44"/>
      <c r="E280" s="44"/>
      <c r="F280" s="44"/>
      <c r="G280" s="45"/>
      <c r="H280" s="44"/>
      <c r="I280" s="44"/>
      <c r="J280" s="44"/>
      <c r="K280" s="44"/>
      <c r="L280" s="44"/>
      <c r="M280" s="44"/>
      <c r="N280" s="44"/>
      <c r="O280" s="44"/>
      <c r="P280" s="44"/>
      <c r="Q280" s="45"/>
      <c r="R280" s="43"/>
      <c r="S280" s="43"/>
      <c r="T280" s="43"/>
      <c r="U280" s="43"/>
      <c r="V280" s="43"/>
      <c r="W280" s="45"/>
      <c r="X280" s="46"/>
      <c r="Y280" s="1" t="s">
        <v>60</v>
      </c>
    </row>
    <row r="281" spans="1:25" ht="12.75" x14ac:dyDescent="0.2">
      <c r="A281" s="37" t="s">
        <v>49</v>
      </c>
      <c r="B281" s="38">
        <v>13836.48</v>
      </c>
      <c r="C281" s="38">
        <v>132762</v>
      </c>
      <c r="D281" s="38">
        <v>231420</v>
      </c>
      <c r="E281" s="38">
        <v>224721</v>
      </c>
      <c r="F281" s="38">
        <v>125941.2</v>
      </c>
      <c r="G281" s="39">
        <f>SUM(B281:F281)</f>
        <v>728680.67999999993</v>
      </c>
      <c r="H281" s="38">
        <v>277779.99</v>
      </c>
      <c r="I281" s="38">
        <v>181911.09</v>
      </c>
      <c r="J281" s="38">
        <v>100110.2</v>
      </c>
      <c r="K281" s="38">
        <v>101570.35</v>
      </c>
      <c r="L281" s="38">
        <v>158312.94</v>
      </c>
      <c r="M281" s="38">
        <v>46890.02</v>
      </c>
      <c r="N281" s="38">
        <v>75508.06</v>
      </c>
      <c r="O281" s="38">
        <v>197200.17</v>
      </c>
      <c r="P281" s="38">
        <v>0</v>
      </c>
      <c r="Q281" s="39">
        <f>SUM(H281:P281)</f>
        <v>1139282.8199999998</v>
      </c>
      <c r="R281" s="38">
        <v>127344.47</v>
      </c>
      <c r="S281" s="38"/>
      <c r="T281" s="38"/>
      <c r="U281" s="38"/>
      <c r="V281" s="38"/>
      <c r="W281" s="39">
        <f>Q281+G281+R281</f>
        <v>1995307.9699999997</v>
      </c>
      <c r="X281" s="41"/>
      <c r="Y281" s="9"/>
    </row>
    <row r="282" spans="1:25" ht="12.75" x14ac:dyDescent="0.2">
      <c r="A282" s="37" t="s">
        <v>42</v>
      </c>
      <c r="B282" s="38">
        <f t="shared" ref="B282:Q282" si="67">B279+B281-B231</f>
        <v>24588.48</v>
      </c>
      <c r="C282" s="38">
        <f t="shared" si="67"/>
        <v>1458817.5199999998</v>
      </c>
      <c r="D282" s="38">
        <f t="shared" si="67"/>
        <v>1460478.2400000002</v>
      </c>
      <c r="E282" s="38">
        <f t="shared" si="67"/>
        <v>1132999.0899999996</v>
      </c>
      <c r="F282" s="38">
        <f t="shared" si="67"/>
        <v>1232657.899999999</v>
      </c>
      <c r="G282" s="39">
        <f t="shared" si="67"/>
        <v>5309541.2300000004</v>
      </c>
      <c r="H282" s="38">
        <f t="shared" si="67"/>
        <v>660762.35000000033</v>
      </c>
      <c r="I282" s="38">
        <f t="shared" si="67"/>
        <v>181911.0900000002</v>
      </c>
      <c r="J282" s="38">
        <f t="shared" si="67"/>
        <v>888053.11</v>
      </c>
      <c r="K282" s="38">
        <f t="shared" si="67"/>
        <v>885782.25999999966</v>
      </c>
      <c r="L282" s="38">
        <f t="shared" si="67"/>
        <v>788317.5900000002</v>
      </c>
      <c r="M282" s="38">
        <f t="shared" si="67"/>
        <v>402839.63000000035</v>
      </c>
      <c r="N282" s="38">
        <f t="shared" si="67"/>
        <v>725282.88</v>
      </c>
      <c r="O282" s="38">
        <f t="shared" si="67"/>
        <v>1504147.9899999995</v>
      </c>
      <c r="P282" s="38">
        <f t="shared" si="67"/>
        <v>4.0301983972312883E-11</v>
      </c>
      <c r="Q282" s="39">
        <f t="shared" si="67"/>
        <v>6037096.9000000004</v>
      </c>
      <c r="R282" s="38">
        <f>R279+R281-R231</f>
        <v>597111.97</v>
      </c>
      <c r="S282" s="38"/>
      <c r="T282" s="38"/>
      <c r="U282" s="38"/>
      <c r="V282" s="38"/>
      <c r="W282" s="39">
        <f>W279+W281-W231</f>
        <v>11943750.099999998</v>
      </c>
      <c r="X282" s="41">
        <f>W281+X279</f>
        <v>221271064.19999996</v>
      </c>
    </row>
    <row r="283" spans="1:25" ht="12.75" x14ac:dyDescent="0.2">
      <c r="A283" s="42"/>
      <c r="B283" s="43"/>
      <c r="C283" s="43"/>
      <c r="D283" s="43"/>
      <c r="E283" s="43"/>
      <c r="F283" s="43"/>
      <c r="G283" s="47"/>
      <c r="H283" s="43"/>
      <c r="I283" s="43"/>
      <c r="J283" s="43"/>
      <c r="K283" s="43"/>
      <c r="L283" s="43"/>
      <c r="M283" s="43"/>
      <c r="N283" s="43"/>
      <c r="O283" s="43"/>
      <c r="P283" s="43"/>
      <c r="Q283" s="47"/>
      <c r="R283" s="43"/>
      <c r="S283" s="43"/>
      <c r="T283" s="43"/>
      <c r="U283" s="43"/>
      <c r="V283" s="43"/>
      <c r="W283" s="47"/>
      <c r="X283" s="46"/>
    </row>
    <row r="284" spans="1:25" ht="12.75" x14ac:dyDescent="0.2">
      <c r="A284" s="37" t="s">
        <v>50</v>
      </c>
      <c r="B284" s="38">
        <v>24360</v>
      </c>
      <c r="C284" s="38">
        <v>129595.2</v>
      </c>
      <c r="D284" s="38">
        <v>218265.60000000001</v>
      </c>
      <c r="E284" s="38">
        <v>184161.6</v>
      </c>
      <c r="F284" s="38">
        <v>123018</v>
      </c>
      <c r="G284" s="39">
        <f>SUM(B284:F284)</f>
        <v>679400.4</v>
      </c>
      <c r="H284" s="38">
        <v>258572.88</v>
      </c>
      <c r="I284" s="38">
        <v>176425.88</v>
      </c>
      <c r="J284" s="38">
        <v>79807.12</v>
      </c>
      <c r="K284" s="38">
        <v>75745.64</v>
      </c>
      <c r="L284" s="38">
        <v>155899.12</v>
      </c>
      <c r="M284" s="38">
        <v>37407.480000000003</v>
      </c>
      <c r="N284" s="38">
        <v>41712.559999999998</v>
      </c>
      <c r="O284" s="38">
        <v>169420.2</v>
      </c>
      <c r="P284" s="38">
        <v>0</v>
      </c>
      <c r="Q284" s="39">
        <f>SUM(H284:P284)</f>
        <v>994990.87999999989</v>
      </c>
      <c r="R284" s="38">
        <v>88639.61</v>
      </c>
      <c r="S284" s="38"/>
      <c r="T284" s="38"/>
      <c r="U284" s="38"/>
      <c r="V284" s="38"/>
      <c r="W284" s="39">
        <f>Q284+G284+R284</f>
        <v>1763030.89</v>
      </c>
      <c r="X284" s="41"/>
      <c r="Y284" s="9"/>
    </row>
    <row r="285" spans="1:25" ht="12.75" x14ac:dyDescent="0.2">
      <c r="A285" s="37" t="s">
        <v>42</v>
      </c>
      <c r="B285" s="38">
        <f t="shared" ref="B285:Q285" si="68">B282+B284-B234</f>
        <v>48948.479999999996</v>
      </c>
      <c r="C285" s="38">
        <f t="shared" si="68"/>
        <v>1455692.7199999997</v>
      </c>
      <c r="D285" s="38">
        <f t="shared" si="68"/>
        <v>1570743.8400000003</v>
      </c>
      <c r="E285" s="38">
        <f t="shared" si="68"/>
        <v>1212760.6899999997</v>
      </c>
      <c r="F285" s="38">
        <f t="shared" si="68"/>
        <v>1259435.899999999</v>
      </c>
      <c r="G285" s="39">
        <f t="shared" si="68"/>
        <v>5547581.6300000008</v>
      </c>
      <c r="H285" s="38">
        <f t="shared" si="68"/>
        <v>919335.23000000033</v>
      </c>
      <c r="I285" s="38">
        <f t="shared" si="68"/>
        <v>358336.9700000002</v>
      </c>
      <c r="J285" s="38">
        <f t="shared" si="68"/>
        <v>873541.27</v>
      </c>
      <c r="K285" s="38">
        <f t="shared" si="68"/>
        <v>868333.87999999966</v>
      </c>
      <c r="L285" s="38">
        <f t="shared" si="68"/>
        <v>801227.92000000016</v>
      </c>
      <c r="M285" s="38">
        <f t="shared" si="68"/>
        <v>396859.23000000033</v>
      </c>
      <c r="N285" s="38">
        <f t="shared" si="68"/>
        <v>680237.51</v>
      </c>
      <c r="O285" s="38">
        <f t="shared" si="68"/>
        <v>1474750.8399999994</v>
      </c>
      <c r="P285" s="38">
        <f t="shared" si="68"/>
        <v>4.0301983972312883E-11</v>
      </c>
      <c r="Q285" s="39">
        <f t="shared" si="68"/>
        <v>6372622.8500000006</v>
      </c>
      <c r="R285" s="38">
        <f>R282+R284-R234</f>
        <v>592138.51</v>
      </c>
      <c r="S285" s="38"/>
      <c r="T285" s="38"/>
      <c r="U285" s="38"/>
      <c r="V285" s="38"/>
      <c r="W285" s="39">
        <f>W282+W284-W234</f>
        <v>12512342.989999998</v>
      </c>
      <c r="X285" s="41">
        <f>W284+X282</f>
        <v>223034095.08999994</v>
      </c>
    </row>
    <row r="286" spans="1:25" ht="12.75" x14ac:dyDescent="0.2">
      <c r="A286" s="42"/>
      <c r="B286" s="43"/>
      <c r="C286" s="43"/>
      <c r="D286" s="43"/>
      <c r="E286" s="43"/>
      <c r="F286" s="43"/>
      <c r="G286" s="47"/>
      <c r="H286" s="43"/>
      <c r="I286" s="43"/>
      <c r="J286" s="43"/>
      <c r="K286" s="43"/>
      <c r="L286" s="43"/>
      <c r="M286" s="43"/>
      <c r="N286" s="43"/>
      <c r="O286" s="43"/>
      <c r="P286" s="43"/>
      <c r="Q286" s="47"/>
      <c r="R286" s="43"/>
      <c r="S286" s="43"/>
      <c r="T286" s="43"/>
      <c r="U286" s="43"/>
      <c r="V286" s="43"/>
      <c r="W286" s="47"/>
      <c r="X286" s="46"/>
    </row>
    <row r="287" spans="1:25" ht="12.75" x14ac:dyDescent="0.2">
      <c r="A287" s="37" t="s">
        <v>51</v>
      </c>
      <c r="B287" s="38">
        <v>24554.880000000001</v>
      </c>
      <c r="C287" s="38">
        <v>131056.8</v>
      </c>
      <c r="D287" s="38">
        <v>240676.8</v>
      </c>
      <c r="E287" s="38">
        <v>730.8</v>
      </c>
      <c r="F287" s="38">
        <v>126428.4</v>
      </c>
      <c r="G287" s="39">
        <f>SUM(B287:F287)</f>
        <v>523447.67999999993</v>
      </c>
      <c r="H287" s="38">
        <v>211096.94</v>
      </c>
      <c r="I287" s="38">
        <v>150681.69</v>
      </c>
      <c r="J287" s="38">
        <v>67913.11</v>
      </c>
      <c r="K287" s="38">
        <v>67871.820000000007</v>
      </c>
      <c r="L287" s="38">
        <v>0</v>
      </c>
      <c r="M287" s="38">
        <v>23229.23</v>
      </c>
      <c r="N287" s="38">
        <v>0</v>
      </c>
      <c r="O287" s="38">
        <v>117681.17</v>
      </c>
      <c r="P287" s="38">
        <v>74728.009999999995</v>
      </c>
      <c r="Q287" s="39">
        <f>SUM(H287:P287)</f>
        <v>713201.97</v>
      </c>
      <c r="R287" s="40">
        <v>0</v>
      </c>
      <c r="S287" s="40"/>
      <c r="T287" s="40"/>
      <c r="U287" s="40"/>
      <c r="V287" s="40"/>
      <c r="W287" s="39">
        <f>Q287+G287+R287</f>
        <v>1236649.6499999999</v>
      </c>
      <c r="X287" s="41"/>
      <c r="Y287" s="9"/>
    </row>
    <row r="288" spans="1:25" ht="12.75" x14ac:dyDescent="0.2">
      <c r="A288" s="37" t="s">
        <v>42</v>
      </c>
      <c r="B288" s="38">
        <f t="shared" ref="B288:Q288" si="69">B285+B287-B237</f>
        <v>73503.360000000001</v>
      </c>
      <c r="C288" s="38">
        <f t="shared" si="69"/>
        <v>1467949.5199999998</v>
      </c>
      <c r="D288" s="38">
        <f t="shared" si="69"/>
        <v>1695260.6400000004</v>
      </c>
      <c r="E288" s="38">
        <f t="shared" si="69"/>
        <v>1213491.4899999998</v>
      </c>
      <c r="F288" s="38">
        <f t="shared" si="69"/>
        <v>1289624.2999999989</v>
      </c>
      <c r="G288" s="39">
        <f t="shared" si="69"/>
        <v>5739829.3100000005</v>
      </c>
      <c r="H288" s="38">
        <f t="shared" si="69"/>
        <v>1110435.2300000004</v>
      </c>
      <c r="I288" s="38">
        <f t="shared" si="69"/>
        <v>509018.66000000021</v>
      </c>
      <c r="J288" s="38">
        <f t="shared" si="69"/>
        <v>890468.59</v>
      </c>
      <c r="K288" s="38">
        <f t="shared" si="69"/>
        <v>887054.37999999977</v>
      </c>
      <c r="L288" s="38">
        <f t="shared" si="69"/>
        <v>801227.92000000016</v>
      </c>
      <c r="M288" s="38">
        <f t="shared" si="69"/>
        <v>394118.5700000003</v>
      </c>
      <c r="N288" s="38">
        <f t="shared" si="69"/>
        <v>617746.44000000006</v>
      </c>
      <c r="O288" s="38">
        <f t="shared" si="69"/>
        <v>1467188.9999999993</v>
      </c>
      <c r="P288" s="38">
        <f t="shared" si="69"/>
        <v>74728.010000000038</v>
      </c>
      <c r="Q288" s="39">
        <f t="shared" si="69"/>
        <v>6751986.8000000007</v>
      </c>
      <c r="R288" s="38">
        <f>R285+R287-R237</f>
        <v>592138.51</v>
      </c>
      <c r="S288" s="38"/>
      <c r="T288" s="38"/>
      <c r="U288" s="38"/>
      <c r="V288" s="38"/>
      <c r="W288" s="39">
        <f>W285+W287-W237</f>
        <v>13083954.619999999</v>
      </c>
      <c r="X288" s="41">
        <f>W287+X285</f>
        <v>224270744.73999995</v>
      </c>
    </row>
    <row r="289" spans="1:25" ht="12.75" x14ac:dyDescent="0.2">
      <c r="A289" s="42"/>
      <c r="B289" s="44"/>
      <c r="C289" s="44"/>
      <c r="D289" s="44"/>
      <c r="E289" s="44"/>
      <c r="F289" s="44"/>
      <c r="G289" s="45"/>
      <c r="H289" s="44"/>
      <c r="I289" s="44"/>
      <c r="J289" s="44"/>
      <c r="K289" s="44"/>
      <c r="L289" s="44"/>
      <c r="M289" s="44"/>
      <c r="N289" s="44"/>
      <c r="O289" s="44"/>
      <c r="P289" s="44"/>
      <c r="Q289" s="45"/>
      <c r="R289" s="43"/>
      <c r="S289" s="43"/>
      <c r="T289" s="43"/>
      <c r="U289" s="43"/>
      <c r="V289" s="43"/>
      <c r="W289" s="45"/>
      <c r="X289" s="46"/>
    </row>
    <row r="290" spans="1:25" ht="12.75" x14ac:dyDescent="0.2">
      <c r="A290" s="37" t="s">
        <v>52</v>
      </c>
      <c r="B290" s="38">
        <v>1559.04</v>
      </c>
      <c r="C290" s="38">
        <v>112056</v>
      </c>
      <c r="D290" s="38">
        <v>174904.8</v>
      </c>
      <c r="E290" s="38">
        <v>0</v>
      </c>
      <c r="F290" s="38">
        <v>100119.6</v>
      </c>
      <c r="G290" s="39">
        <v>388639.44</v>
      </c>
      <c r="H290" s="38">
        <v>26279.54</v>
      </c>
      <c r="I290" s="38">
        <v>8388.36</v>
      </c>
      <c r="J290" s="38">
        <v>60553.35</v>
      </c>
      <c r="K290" s="38">
        <v>60565.9</v>
      </c>
      <c r="L290" s="38">
        <v>0</v>
      </c>
      <c r="M290" s="38">
        <v>8004.81</v>
      </c>
      <c r="N290" s="38">
        <v>42570.68</v>
      </c>
      <c r="O290" s="38">
        <v>86984.76</v>
      </c>
      <c r="P290" s="38">
        <v>0</v>
      </c>
      <c r="Q290" s="39">
        <f>SUM(H290:P290)</f>
        <v>293347.39999999997</v>
      </c>
      <c r="R290" s="40">
        <v>0</v>
      </c>
      <c r="S290" s="40"/>
      <c r="T290" s="40"/>
      <c r="U290" s="40"/>
      <c r="V290" s="40"/>
      <c r="W290" s="39">
        <f>Q290+G290+R290</f>
        <v>681986.84</v>
      </c>
      <c r="X290" s="41"/>
      <c r="Y290" s="9"/>
    </row>
    <row r="291" spans="1:25" ht="12.75" x14ac:dyDescent="0.2">
      <c r="A291" s="37" t="s">
        <v>42</v>
      </c>
      <c r="B291" s="38">
        <f t="shared" ref="B291:Q291" si="70">B288+B290-B240</f>
        <v>73718.399999999994</v>
      </c>
      <c r="C291" s="38">
        <f t="shared" si="70"/>
        <v>1474405.5199999998</v>
      </c>
      <c r="D291" s="38">
        <f t="shared" si="70"/>
        <v>1784725.4400000004</v>
      </c>
      <c r="E291" s="38">
        <f t="shared" si="70"/>
        <v>1213491.4899999998</v>
      </c>
      <c r="F291" s="38">
        <f t="shared" si="70"/>
        <v>1266863.899999999</v>
      </c>
      <c r="G291" s="39">
        <f t="shared" si="70"/>
        <v>5813204.7500000009</v>
      </c>
      <c r="H291" s="38">
        <f t="shared" si="70"/>
        <v>1136714.7700000005</v>
      </c>
      <c r="I291" s="38">
        <f t="shared" si="70"/>
        <v>517407.02000000019</v>
      </c>
      <c r="J291" s="38">
        <f t="shared" si="70"/>
        <v>880530.7</v>
      </c>
      <c r="K291" s="38">
        <f t="shared" si="70"/>
        <v>879518.54999999981</v>
      </c>
      <c r="L291" s="38">
        <f t="shared" si="70"/>
        <v>801227.92000000016</v>
      </c>
      <c r="M291" s="38">
        <f t="shared" si="70"/>
        <v>375853.24000000028</v>
      </c>
      <c r="N291" s="38">
        <f t="shared" si="70"/>
        <v>599415.40000000014</v>
      </c>
      <c r="O291" s="38">
        <f t="shared" si="70"/>
        <v>1443844.5599999994</v>
      </c>
      <c r="P291" s="38">
        <f t="shared" si="70"/>
        <v>74728.010000000038</v>
      </c>
      <c r="Q291" s="39">
        <f t="shared" si="70"/>
        <v>6709240.1700000009</v>
      </c>
      <c r="R291" s="38">
        <f>R288+R290-R240</f>
        <v>592138.51</v>
      </c>
      <c r="S291" s="38"/>
      <c r="T291" s="38"/>
      <c r="U291" s="38"/>
      <c r="V291" s="38"/>
      <c r="W291" s="39">
        <f>W288+W290-W240</f>
        <v>13114583.43</v>
      </c>
      <c r="X291" s="41">
        <f>W290+X288</f>
        <v>224952731.57999995</v>
      </c>
    </row>
    <row r="292" spans="1:25" ht="12.75" x14ac:dyDescent="0.2">
      <c r="A292" s="42"/>
      <c r="B292" s="43"/>
      <c r="C292" s="43"/>
      <c r="D292" s="43"/>
      <c r="E292" s="43"/>
      <c r="F292" s="43"/>
      <c r="G292" s="47"/>
      <c r="H292" s="43"/>
      <c r="I292" s="43"/>
      <c r="J292" s="43"/>
      <c r="K292" s="43"/>
      <c r="L292" s="43"/>
      <c r="M292" s="43"/>
      <c r="N292" s="43"/>
      <c r="O292" s="43"/>
      <c r="P292" s="43"/>
      <c r="Q292" s="47"/>
      <c r="R292" s="43"/>
      <c r="S292" s="43"/>
      <c r="T292" s="43"/>
      <c r="U292" s="43"/>
      <c r="V292" s="43"/>
      <c r="W292" s="47"/>
      <c r="X292" s="46"/>
    </row>
    <row r="293" spans="1:25" ht="12.75" x14ac:dyDescent="0.2">
      <c r="A293" s="37" t="s">
        <v>53</v>
      </c>
      <c r="B293" s="38">
        <v>0</v>
      </c>
      <c r="C293" s="38">
        <v>123505.2</v>
      </c>
      <c r="D293" s="38">
        <v>114004.8</v>
      </c>
      <c r="E293" s="38">
        <v>57733.2</v>
      </c>
      <c r="F293" s="38">
        <v>91106.4</v>
      </c>
      <c r="G293" s="39">
        <f>SUM(B293:F293)</f>
        <v>386349.6</v>
      </c>
      <c r="H293" s="38">
        <v>0</v>
      </c>
      <c r="I293" s="38">
        <v>0</v>
      </c>
      <c r="J293" s="38">
        <v>67913.149999999994</v>
      </c>
      <c r="K293" s="38">
        <v>69725.23</v>
      </c>
      <c r="L293" s="38">
        <v>0</v>
      </c>
      <c r="M293" s="38">
        <v>0</v>
      </c>
      <c r="N293" s="38">
        <v>63973.38</v>
      </c>
      <c r="O293" s="38">
        <v>80911.58</v>
      </c>
      <c r="P293" s="38">
        <v>0</v>
      </c>
      <c r="Q293" s="39">
        <f>SUM(H293:P293)</f>
        <v>282523.34000000003</v>
      </c>
      <c r="R293" s="40">
        <v>0</v>
      </c>
      <c r="S293" s="40"/>
      <c r="T293" s="40"/>
      <c r="U293" s="40"/>
      <c r="V293" s="40"/>
      <c r="W293" s="39">
        <f>Q293+G293+R293</f>
        <v>668872.93999999994</v>
      </c>
      <c r="X293" s="41"/>
    </row>
    <row r="294" spans="1:25" ht="13.5" thickBot="1" x14ac:dyDescent="0.25">
      <c r="A294" s="48" t="s">
        <v>42</v>
      </c>
      <c r="B294" s="49">
        <f t="shared" ref="B294:Q294" si="71">B291+B293-B243</f>
        <v>64310.399999999994</v>
      </c>
      <c r="C294" s="49">
        <f t="shared" si="71"/>
        <v>1520150.7199999997</v>
      </c>
      <c r="D294" s="49">
        <f t="shared" si="71"/>
        <v>1805130.2400000005</v>
      </c>
      <c r="E294" s="49">
        <f t="shared" si="71"/>
        <v>1197064.6899999997</v>
      </c>
      <c r="F294" s="49">
        <f t="shared" si="71"/>
        <v>1255250.2999999989</v>
      </c>
      <c r="G294" s="50">
        <f t="shared" si="71"/>
        <v>5841906.3500000006</v>
      </c>
      <c r="H294" s="49">
        <f t="shared" si="71"/>
        <v>1096691.6300000006</v>
      </c>
      <c r="I294" s="49">
        <f t="shared" si="71"/>
        <v>517407.02000000019</v>
      </c>
      <c r="J294" s="49">
        <f t="shared" si="71"/>
        <v>895951.89</v>
      </c>
      <c r="K294" s="49">
        <f t="shared" si="71"/>
        <v>898183.62999999977</v>
      </c>
      <c r="L294" s="49">
        <f t="shared" si="71"/>
        <v>801227.92000000016</v>
      </c>
      <c r="M294" s="49">
        <f t="shared" si="71"/>
        <v>351108.86000000028</v>
      </c>
      <c r="N294" s="49">
        <f t="shared" si="71"/>
        <v>627939.7300000001</v>
      </c>
      <c r="O294" s="49">
        <f t="shared" si="71"/>
        <v>1461849.4099999995</v>
      </c>
      <c r="P294" s="49">
        <f t="shared" si="71"/>
        <v>74728.010000000038</v>
      </c>
      <c r="Q294" s="50">
        <f t="shared" si="71"/>
        <v>6725088.1000000006</v>
      </c>
      <c r="R294" s="49">
        <f>R291+R293-R243</f>
        <v>592138.51</v>
      </c>
      <c r="S294" s="49"/>
      <c r="T294" s="49"/>
      <c r="U294" s="49"/>
      <c r="V294" s="49"/>
      <c r="W294" s="50">
        <f>W291+W293-W243</f>
        <v>13159132.959999999</v>
      </c>
      <c r="X294" s="51">
        <f>W293+X291</f>
        <v>225621604.51999995</v>
      </c>
    </row>
    <row r="295" spans="1:25" x14ac:dyDescent="0.2">
      <c r="W295" s="9"/>
      <c r="X295" s="9"/>
    </row>
    <row r="296" spans="1:25" x14ac:dyDescent="0.2"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 t="s">
        <v>60</v>
      </c>
      <c r="P296" s="2"/>
      <c r="Q296" s="2"/>
      <c r="W296" s="2"/>
      <c r="X296" s="9"/>
    </row>
    <row r="297" spans="1:25" ht="12.75" x14ac:dyDescent="0.2">
      <c r="A297" s="19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W297" s="2"/>
      <c r="X297" s="9" t="s">
        <v>60</v>
      </c>
    </row>
    <row r="298" spans="1:25" x14ac:dyDescent="0.2"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W298" s="2"/>
      <c r="X298" s="9"/>
    </row>
    <row r="299" spans="1:25" x14ac:dyDescent="0.2">
      <c r="B299" s="2"/>
      <c r="C299" s="2"/>
      <c r="E299" s="2"/>
      <c r="F299" s="2"/>
      <c r="G299" s="2"/>
      <c r="H299" s="2"/>
      <c r="I299" s="2"/>
      <c r="J299" s="2"/>
      <c r="K299" s="4"/>
      <c r="L299" s="5"/>
      <c r="M299" s="2"/>
      <c r="N299" s="2"/>
      <c r="O299" s="2" t="s">
        <v>60</v>
      </c>
      <c r="P299" s="2"/>
      <c r="Q299" s="2"/>
      <c r="W299" s="2"/>
      <c r="X299" s="9"/>
    </row>
    <row r="300" spans="1:25" x14ac:dyDescent="0.2"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W300" s="2"/>
      <c r="X300" s="9"/>
    </row>
    <row r="301" spans="1:25" ht="27" x14ac:dyDescent="0.35">
      <c r="A301" s="133" t="s">
        <v>72</v>
      </c>
      <c r="B301" s="54"/>
      <c r="C301" s="122"/>
      <c r="D301" s="58"/>
      <c r="E301" s="127"/>
      <c r="F301" s="128"/>
      <c r="G301" s="127"/>
      <c r="H301" s="129"/>
      <c r="I301" s="130"/>
      <c r="J301" s="130"/>
      <c r="K301" s="130"/>
      <c r="L301" s="130"/>
      <c r="M301" s="130"/>
      <c r="N301" s="130"/>
      <c r="O301" s="130"/>
      <c r="P301" s="130"/>
      <c r="Q301" s="130"/>
      <c r="R301" s="128"/>
      <c r="S301" s="128"/>
      <c r="T301" s="128"/>
      <c r="U301" s="128"/>
      <c r="V301" s="128"/>
      <c r="W301" s="130"/>
      <c r="X301" s="131"/>
    </row>
    <row r="302" spans="1:25" ht="18.600000000000001" customHeight="1" x14ac:dyDescent="0.25">
      <c r="A302" s="136"/>
      <c r="B302" s="54"/>
      <c r="C302" s="54"/>
      <c r="D302" s="53"/>
      <c r="E302" s="53"/>
      <c r="F302" s="132"/>
      <c r="G302" s="55"/>
      <c r="H302" s="55"/>
      <c r="I302" s="55"/>
      <c r="J302" s="54"/>
      <c r="K302" s="56"/>
      <c r="L302" s="57"/>
      <c r="M302" s="54"/>
      <c r="N302" s="54" t="s">
        <v>60</v>
      </c>
      <c r="O302" s="54"/>
      <c r="P302" s="54"/>
      <c r="Q302" s="57"/>
      <c r="R302" s="58"/>
      <c r="S302" s="58"/>
      <c r="T302" s="58"/>
      <c r="U302" s="58"/>
      <c r="V302" s="58"/>
      <c r="W302" s="54"/>
      <c r="X302" s="54"/>
    </row>
    <row r="303" spans="1:25" ht="27" x14ac:dyDescent="0.35">
      <c r="A303" s="134" t="s">
        <v>6</v>
      </c>
      <c r="B303" s="122"/>
      <c r="C303" s="122"/>
      <c r="D303" s="122"/>
      <c r="E303" s="122"/>
      <c r="F303" s="122"/>
      <c r="G303" s="122"/>
      <c r="H303" s="122"/>
      <c r="I303" s="122"/>
      <c r="J303" s="122"/>
      <c r="K303" s="122"/>
      <c r="L303" s="122"/>
      <c r="M303" s="122"/>
      <c r="N303" s="122"/>
      <c r="O303" s="122"/>
      <c r="P303" s="122"/>
      <c r="Q303" s="122"/>
      <c r="R303" s="122"/>
      <c r="S303" s="122"/>
      <c r="T303" s="122"/>
      <c r="U303" s="122"/>
      <c r="V303" s="122"/>
      <c r="W303" s="122"/>
      <c r="X303" s="122"/>
    </row>
    <row r="304" spans="1:25" ht="12" thickBot="1" x14ac:dyDescent="0.25">
      <c r="B304" s="2"/>
      <c r="C304" s="2"/>
      <c r="D304" s="2"/>
      <c r="E304" s="2"/>
      <c r="F304" s="59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 t="s">
        <v>60</v>
      </c>
      <c r="W304" s="2"/>
      <c r="X304" s="57"/>
    </row>
    <row r="305" spans="1:32" x14ac:dyDescent="0.2">
      <c r="A305" s="14"/>
      <c r="B305" s="15"/>
      <c r="C305" s="15"/>
      <c r="D305" s="15"/>
      <c r="E305" s="15"/>
      <c r="F305" s="15"/>
      <c r="G305" s="15"/>
      <c r="H305" s="15"/>
      <c r="I305" s="15"/>
      <c r="J305" s="15"/>
      <c r="K305" s="15"/>
      <c r="L305" s="15"/>
      <c r="M305" s="15"/>
      <c r="N305" s="15"/>
      <c r="O305" s="15"/>
      <c r="P305" s="15"/>
      <c r="Q305" s="15"/>
      <c r="R305" s="16"/>
      <c r="S305" s="16"/>
      <c r="T305" s="16"/>
      <c r="U305" s="16"/>
      <c r="V305" s="16"/>
      <c r="W305" s="15"/>
      <c r="X305" s="60" t="s">
        <v>60</v>
      </c>
    </row>
    <row r="306" spans="1:32" ht="13.5" thickBot="1" x14ac:dyDescent="0.25">
      <c r="A306" s="18"/>
      <c r="B306" s="61"/>
      <c r="C306" s="62"/>
      <c r="D306" s="63" t="s">
        <v>73</v>
      </c>
      <c r="E306" s="64"/>
      <c r="F306" s="64"/>
      <c r="G306" s="64"/>
      <c r="H306" s="61"/>
      <c r="I306" s="64"/>
      <c r="J306" s="64"/>
      <c r="K306" s="65" t="s">
        <v>74</v>
      </c>
      <c r="L306" s="64"/>
      <c r="M306" s="64"/>
      <c r="N306" s="64"/>
      <c r="O306" s="64"/>
      <c r="P306" s="64"/>
      <c r="Q306" s="138" t="s">
        <v>75</v>
      </c>
      <c r="R306" s="64"/>
      <c r="S306" s="64"/>
      <c r="T306" s="64"/>
      <c r="U306" s="64"/>
      <c r="V306" s="64"/>
      <c r="W306" s="66"/>
      <c r="X306" s="36" t="s">
        <v>60</v>
      </c>
    </row>
    <row r="307" spans="1:32" ht="12" x14ac:dyDescent="0.2">
      <c r="A307" s="67"/>
      <c r="B307" s="68" t="s">
        <v>11</v>
      </c>
      <c r="C307" s="68" t="s">
        <v>12</v>
      </c>
      <c r="D307" s="68" t="s">
        <v>13</v>
      </c>
      <c r="E307" s="68" t="s">
        <v>14</v>
      </c>
      <c r="F307" s="68" t="s">
        <v>15</v>
      </c>
      <c r="G307" s="69" t="s">
        <v>16</v>
      </c>
      <c r="H307" s="68" t="s">
        <v>17</v>
      </c>
      <c r="I307" s="70"/>
      <c r="J307" s="70"/>
      <c r="K307" s="70"/>
      <c r="L307" s="70"/>
      <c r="M307" s="68" t="s">
        <v>18</v>
      </c>
      <c r="N307" s="68" t="s">
        <v>19</v>
      </c>
      <c r="O307" s="68" t="s">
        <v>20</v>
      </c>
      <c r="P307" s="68" t="s">
        <v>21</v>
      </c>
      <c r="Q307" s="69" t="s">
        <v>16</v>
      </c>
      <c r="R307" s="71" t="s">
        <v>69</v>
      </c>
      <c r="S307" s="71"/>
      <c r="T307" s="71"/>
      <c r="U307" s="71"/>
      <c r="V307" s="71"/>
      <c r="W307" s="72" t="s">
        <v>7</v>
      </c>
      <c r="X307" s="73" t="s">
        <v>70</v>
      </c>
      <c r="Y307" s="74"/>
      <c r="Z307" s="9"/>
      <c r="AA307" s="9"/>
      <c r="AB307" s="9"/>
      <c r="AC307" s="9"/>
      <c r="AD307" s="9"/>
      <c r="AE307" s="9"/>
      <c r="AF307" s="9"/>
    </row>
    <row r="308" spans="1:32" ht="12.75" thickBot="1" x14ac:dyDescent="0.25">
      <c r="A308" s="75"/>
      <c r="B308" s="76" t="s">
        <v>23</v>
      </c>
      <c r="C308" s="76" t="s">
        <v>24</v>
      </c>
      <c r="D308" s="76" t="s">
        <v>25</v>
      </c>
      <c r="E308" s="76" t="s">
        <v>26</v>
      </c>
      <c r="F308" s="76" t="s">
        <v>27</v>
      </c>
      <c r="G308" s="77" t="s">
        <v>28</v>
      </c>
      <c r="H308" s="76" t="s">
        <v>29</v>
      </c>
      <c r="I308" s="76" t="s">
        <v>30</v>
      </c>
      <c r="J308" s="76" t="s">
        <v>31</v>
      </c>
      <c r="K308" s="76" t="s">
        <v>32</v>
      </c>
      <c r="L308" s="76" t="s">
        <v>33</v>
      </c>
      <c r="M308" s="76" t="s">
        <v>34</v>
      </c>
      <c r="N308" s="76" t="s">
        <v>35</v>
      </c>
      <c r="O308" s="76" t="s">
        <v>36</v>
      </c>
      <c r="P308" s="76" t="s">
        <v>37</v>
      </c>
      <c r="Q308" s="77" t="s">
        <v>28</v>
      </c>
      <c r="R308" s="78" t="s">
        <v>62</v>
      </c>
      <c r="S308" s="78"/>
      <c r="T308" s="78"/>
      <c r="U308" s="78"/>
      <c r="V308" s="78"/>
      <c r="W308" s="79" t="s">
        <v>10</v>
      </c>
      <c r="X308" s="80" t="s">
        <v>71</v>
      </c>
      <c r="Y308" s="74"/>
      <c r="Z308" s="9"/>
      <c r="AA308" s="9"/>
      <c r="AB308" s="9"/>
      <c r="AC308" s="9"/>
      <c r="AD308" s="9"/>
      <c r="AE308" s="9"/>
      <c r="AF308" s="9"/>
    </row>
    <row r="309" spans="1:32" x14ac:dyDescent="0.2">
      <c r="A309" s="18"/>
      <c r="B309" s="33"/>
      <c r="C309" s="33"/>
      <c r="D309" s="33"/>
      <c r="E309" s="33"/>
      <c r="F309" s="33"/>
      <c r="G309" s="34"/>
      <c r="H309" s="33"/>
      <c r="I309" s="33"/>
      <c r="J309" s="33"/>
      <c r="K309" s="33"/>
      <c r="L309" s="33"/>
      <c r="M309" s="33"/>
      <c r="N309" s="33"/>
      <c r="O309" s="33"/>
      <c r="P309" s="33"/>
      <c r="Q309" s="34"/>
      <c r="R309" s="35"/>
      <c r="S309" s="35"/>
      <c r="T309" s="35"/>
      <c r="U309" s="35"/>
      <c r="V309" s="35"/>
      <c r="W309" s="81"/>
      <c r="X309" s="36"/>
      <c r="Y309" s="9"/>
      <c r="Z309" s="9"/>
      <c r="AA309" s="9"/>
      <c r="AB309" s="9"/>
      <c r="AC309" s="9"/>
      <c r="AD309" s="9"/>
      <c r="AE309" s="9"/>
      <c r="AF309" s="9"/>
    </row>
    <row r="310" spans="1:32" ht="12.75" x14ac:dyDescent="0.2">
      <c r="A310" s="82" t="s">
        <v>41</v>
      </c>
      <c r="B310" s="38">
        <v>10483.82</v>
      </c>
      <c r="C310" s="38">
        <v>132284.1</v>
      </c>
      <c r="D310" s="38">
        <v>62309.52</v>
      </c>
      <c r="E310" s="38">
        <v>14464.71</v>
      </c>
      <c r="F310" s="38">
        <v>48710.22</v>
      </c>
      <c r="G310" s="39">
        <f>SUM(B310:F310)</f>
        <v>268252.37</v>
      </c>
      <c r="H310" s="38">
        <v>55898.66</v>
      </c>
      <c r="I310" s="38">
        <v>0</v>
      </c>
      <c r="J310" s="38">
        <v>62582</v>
      </c>
      <c r="K310" s="38">
        <v>62263.519999999997</v>
      </c>
      <c r="L310" s="38">
        <v>0</v>
      </c>
      <c r="M310" s="38">
        <v>0</v>
      </c>
      <c r="N310" s="38">
        <v>31267.96</v>
      </c>
      <c r="O310" s="38">
        <v>120698.98</v>
      </c>
      <c r="P310" s="38">
        <v>0</v>
      </c>
      <c r="Q310" s="39">
        <f>SUM(H310:P310)</f>
        <v>332711.12</v>
      </c>
      <c r="R310" s="40">
        <v>0</v>
      </c>
      <c r="S310" s="40"/>
      <c r="T310" s="40"/>
      <c r="U310" s="40"/>
      <c r="V310" s="40"/>
      <c r="W310" s="83">
        <f>Q310+G310+R310</f>
        <v>600963.49</v>
      </c>
      <c r="X310" s="41"/>
      <c r="Y310" s="9"/>
      <c r="Z310" s="9"/>
      <c r="AA310" s="9"/>
      <c r="AB310" s="9"/>
      <c r="AC310" s="9"/>
      <c r="AD310" s="9"/>
      <c r="AE310" s="9"/>
      <c r="AF310" s="9"/>
    </row>
    <row r="311" spans="1:32" ht="12.75" x14ac:dyDescent="0.2">
      <c r="A311" s="82" t="s">
        <v>42</v>
      </c>
      <c r="B311" s="84">
        <f t="shared" ref="B311:Q311" si="72">B294+B310-B260</f>
        <v>74794.22</v>
      </c>
      <c r="C311" s="84">
        <f t="shared" si="72"/>
        <v>1548661.2199999997</v>
      </c>
      <c r="D311" s="84">
        <f t="shared" si="72"/>
        <v>1765127.7600000005</v>
      </c>
      <c r="E311" s="84">
        <f t="shared" si="72"/>
        <v>1211529.3999999997</v>
      </c>
      <c r="F311" s="84">
        <f t="shared" si="72"/>
        <v>1211636.1199999989</v>
      </c>
      <c r="G311" s="39">
        <f t="shared" si="72"/>
        <v>5811748.7200000007</v>
      </c>
      <c r="H311" s="38">
        <f t="shared" si="72"/>
        <v>1152590.2900000005</v>
      </c>
      <c r="I311" s="38">
        <f t="shared" si="72"/>
        <v>517407.02000000019</v>
      </c>
      <c r="J311" s="38">
        <f t="shared" si="72"/>
        <v>887455.59</v>
      </c>
      <c r="K311" s="38">
        <f t="shared" si="72"/>
        <v>891716.07999999984</v>
      </c>
      <c r="L311" s="38">
        <f t="shared" si="72"/>
        <v>801227.92000000016</v>
      </c>
      <c r="M311" s="38">
        <f t="shared" si="72"/>
        <v>326261.44000000029</v>
      </c>
      <c r="N311" s="38">
        <f t="shared" si="72"/>
        <v>619420.80000000005</v>
      </c>
      <c r="O311" s="38">
        <f t="shared" si="72"/>
        <v>1504446.1099999994</v>
      </c>
      <c r="P311" s="38">
        <f t="shared" si="72"/>
        <v>74728.010000000038</v>
      </c>
      <c r="Q311" s="39">
        <f t="shared" si="72"/>
        <v>6775253.2600000007</v>
      </c>
      <c r="R311" s="38">
        <f>R294+R310-R260</f>
        <v>592138.51</v>
      </c>
      <c r="S311" s="38"/>
      <c r="T311" s="38"/>
      <c r="U311" s="38"/>
      <c r="V311" s="38"/>
      <c r="W311" s="83">
        <f>W294+W310-W260</f>
        <v>13179140.489999998</v>
      </c>
      <c r="X311" s="41">
        <f>W310+X294</f>
        <v>226222568.00999996</v>
      </c>
      <c r="Y311" s="9"/>
      <c r="Z311" s="9"/>
      <c r="AA311" s="9"/>
      <c r="AB311" s="9"/>
      <c r="AC311" s="9"/>
      <c r="AD311" s="9"/>
      <c r="AE311" s="9"/>
      <c r="AF311" s="9"/>
    </row>
    <row r="312" spans="1:32" ht="12.75" x14ac:dyDescent="0.2">
      <c r="A312" s="85"/>
      <c r="B312" s="38"/>
      <c r="C312" s="38"/>
      <c r="D312" s="38"/>
      <c r="E312" s="38"/>
      <c r="F312" s="38"/>
      <c r="G312" s="39"/>
      <c r="H312" s="38"/>
      <c r="I312" s="38"/>
      <c r="J312" s="38"/>
      <c r="K312" s="38"/>
      <c r="L312" s="38"/>
      <c r="M312" s="38"/>
      <c r="N312" s="38"/>
      <c r="O312" s="38"/>
      <c r="P312" s="38"/>
      <c r="Q312" s="39" t="s">
        <v>60</v>
      </c>
      <c r="R312" s="43"/>
      <c r="S312" s="43"/>
      <c r="T312" s="43"/>
      <c r="U312" s="43"/>
      <c r="V312" s="43"/>
      <c r="W312" s="83"/>
      <c r="X312" s="41"/>
      <c r="Y312" s="9"/>
      <c r="Z312" s="9"/>
      <c r="AA312" s="9"/>
      <c r="AB312" s="9"/>
      <c r="AC312" s="9"/>
      <c r="AD312" s="9"/>
      <c r="AE312" s="9"/>
      <c r="AF312" s="9"/>
    </row>
    <row r="313" spans="1:32" ht="12.75" x14ac:dyDescent="0.2">
      <c r="A313" s="82" t="s">
        <v>43</v>
      </c>
      <c r="B313" s="38">
        <v>20572.03</v>
      </c>
      <c r="C313" s="38">
        <v>97420.44</v>
      </c>
      <c r="D313" s="38">
        <v>117695.76</v>
      </c>
      <c r="E313" s="38">
        <v>0</v>
      </c>
      <c r="F313" s="38">
        <v>1978.08</v>
      </c>
      <c r="G313" s="39">
        <f>SUM(B313:F313)</f>
        <v>237666.30999999997</v>
      </c>
      <c r="H313" s="38">
        <v>149276.79</v>
      </c>
      <c r="I313" s="38">
        <v>0</v>
      </c>
      <c r="J313" s="38">
        <v>57402.22</v>
      </c>
      <c r="K313" s="38">
        <v>56786.879999999997</v>
      </c>
      <c r="L313" s="38">
        <v>0</v>
      </c>
      <c r="M313" s="38">
        <v>3549.59</v>
      </c>
      <c r="N313" s="38">
        <v>0</v>
      </c>
      <c r="O313" s="38">
        <v>102561.96</v>
      </c>
      <c r="P313" s="38">
        <v>0</v>
      </c>
      <c r="Q313" s="39">
        <f>SUM(H313:P313)</f>
        <v>369577.44000000006</v>
      </c>
      <c r="R313" s="40">
        <v>0</v>
      </c>
      <c r="S313" s="40"/>
      <c r="T313" s="40"/>
      <c r="U313" s="40"/>
      <c r="V313" s="40"/>
      <c r="W313" s="83">
        <f>Q313+G313+R313</f>
        <v>607243.75</v>
      </c>
      <c r="X313" s="41"/>
      <c r="Y313" s="9"/>
      <c r="Z313" s="9"/>
      <c r="AA313" s="9"/>
      <c r="AB313" s="9"/>
      <c r="AC313" s="9"/>
      <c r="AD313" s="9"/>
      <c r="AE313" s="9"/>
      <c r="AF313" s="9"/>
    </row>
    <row r="314" spans="1:32" ht="12.75" x14ac:dyDescent="0.2">
      <c r="A314" s="82" t="s">
        <v>42</v>
      </c>
      <c r="B314" s="38">
        <f t="shared" ref="B314:Q314" si="73">B311+B313-B263</f>
        <v>95366.25</v>
      </c>
      <c r="C314" s="38">
        <f t="shared" si="73"/>
        <v>1543282.4599999997</v>
      </c>
      <c r="D314" s="38">
        <f t="shared" si="73"/>
        <v>1816077.1200000006</v>
      </c>
      <c r="E314" s="38">
        <f t="shared" si="73"/>
        <v>1211529.3999999997</v>
      </c>
      <c r="F314" s="38">
        <f t="shared" si="73"/>
        <v>1149790.9999999991</v>
      </c>
      <c r="G314" s="39">
        <f t="shared" si="73"/>
        <v>5816046.2300000004</v>
      </c>
      <c r="H314" s="38">
        <f t="shared" si="73"/>
        <v>1301867.0800000005</v>
      </c>
      <c r="I314" s="38">
        <f t="shared" si="73"/>
        <v>517407.02000000019</v>
      </c>
      <c r="J314" s="38">
        <f t="shared" si="73"/>
        <v>879259.2</v>
      </c>
      <c r="K314" s="38">
        <f t="shared" si="73"/>
        <v>885106.37999999989</v>
      </c>
      <c r="L314" s="38">
        <f t="shared" si="73"/>
        <v>801227.92000000016</v>
      </c>
      <c r="M314" s="38">
        <f t="shared" si="73"/>
        <v>310121.0100000003</v>
      </c>
      <c r="N314" s="38">
        <f t="shared" si="73"/>
        <v>565212.12</v>
      </c>
      <c r="O314" s="38">
        <f t="shared" si="73"/>
        <v>1556850.2499999993</v>
      </c>
      <c r="P314" s="38">
        <f t="shared" si="73"/>
        <v>74728.010000000038</v>
      </c>
      <c r="Q314" s="39">
        <f t="shared" si="73"/>
        <v>6891778.9900000012</v>
      </c>
      <c r="R314" s="38">
        <f>R311+R313-R263</f>
        <v>592138.51</v>
      </c>
      <c r="S314" s="38"/>
      <c r="T314" s="38"/>
      <c r="U314" s="38"/>
      <c r="V314" s="38"/>
      <c r="W314" s="83">
        <f>W311+W313-W263</f>
        <v>13299963.729999999</v>
      </c>
      <c r="X314" s="41">
        <f>W313+X311</f>
        <v>226829811.75999996</v>
      </c>
      <c r="Y314" s="9"/>
      <c r="Z314" s="9"/>
      <c r="AA314" s="9"/>
      <c r="AB314" s="9"/>
      <c r="AC314" s="9"/>
      <c r="AD314" s="9"/>
      <c r="AE314" s="9"/>
      <c r="AF314" s="9"/>
    </row>
    <row r="315" spans="1:32" ht="12.75" x14ac:dyDescent="0.2">
      <c r="A315" s="85"/>
      <c r="B315" s="44"/>
      <c r="C315" s="44"/>
      <c r="D315" s="44"/>
      <c r="E315" s="44"/>
      <c r="F315" s="44"/>
      <c r="G315" s="45"/>
      <c r="H315" s="44"/>
      <c r="I315" s="44"/>
      <c r="J315" s="44"/>
      <c r="K315" s="44"/>
      <c r="L315" s="44"/>
      <c r="M315" s="44"/>
      <c r="N315" s="44"/>
      <c r="O315" s="44"/>
      <c r="P315" s="44"/>
      <c r="Q315" s="45"/>
      <c r="R315" s="43"/>
      <c r="S315" s="43"/>
      <c r="T315" s="43"/>
      <c r="U315" s="43"/>
      <c r="V315" s="43"/>
      <c r="W315" s="86"/>
      <c r="X315" s="46"/>
      <c r="Y315" s="9"/>
      <c r="Z315" s="9"/>
      <c r="AA315" s="9"/>
      <c r="AB315" s="9"/>
      <c r="AC315" s="9"/>
      <c r="AD315" s="9"/>
      <c r="AE315" s="9"/>
      <c r="AF315" s="9"/>
    </row>
    <row r="316" spans="1:32" ht="12.75" x14ac:dyDescent="0.2">
      <c r="A316" s="82" t="s">
        <v>44</v>
      </c>
      <c r="B316" s="38">
        <v>0</v>
      </c>
      <c r="C316" s="38">
        <v>103107.42</v>
      </c>
      <c r="D316" s="38">
        <v>128080.68</v>
      </c>
      <c r="E316" s="38">
        <v>0</v>
      </c>
      <c r="F316" s="38">
        <v>122640.96000000001</v>
      </c>
      <c r="G316" s="39">
        <f>SUM(B316:F316)</f>
        <v>353829.06</v>
      </c>
      <c r="H316" s="38">
        <v>73723.16</v>
      </c>
      <c r="I316" s="38">
        <v>422.1</v>
      </c>
      <c r="J316" s="38">
        <v>46871.24</v>
      </c>
      <c r="K316" s="38">
        <v>67616.070000000007</v>
      </c>
      <c r="L316" s="38">
        <v>0</v>
      </c>
      <c r="M316" s="38">
        <v>19226.169999999998</v>
      </c>
      <c r="N316" s="38">
        <v>33749.29</v>
      </c>
      <c r="O316" s="38">
        <v>129929.77</v>
      </c>
      <c r="P316" s="38">
        <v>0</v>
      </c>
      <c r="Q316" s="39">
        <f>SUM(H316:P316)</f>
        <v>371537.8</v>
      </c>
      <c r="R316" s="40">
        <v>0</v>
      </c>
      <c r="S316" s="40"/>
      <c r="T316" s="40"/>
      <c r="U316" s="40"/>
      <c r="V316" s="40"/>
      <c r="W316" s="83">
        <f>Q316+G316+R316</f>
        <v>725366.86</v>
      </c>
      <c r="X316" s="41"/>
      <c r="Y316" s="9"/>
      <c r="Z316" s="9"/>
      <c r="AA316" s="9"/>
      <c r="AB316" s="9"/>
      <c r="AC316" s="9"/>
      <c r="AD316" s="9"/>
      <c r="AE316" s="9"/>
      <c r="AF316" s="9"/>
    </row>
    <row r="317" spans="1:32" ht="12.75" x14ac:dyDescent="0.2">
      <c r="A317" s="82" t="s">
        <v>42</v>
      </c>
      <c r="B317" s="38">
        <f t="shared" ref="B317:Q317" si="74">B314+B316-B266</f>
        <v>95366.25</v>
      </c>
      <c r="C317" s="38">
        <f t="shared" si="74"/>
        <v>1521666.6799999997</v>
      </c>
      <c r="D317" s="38">
        <f t="shared" si="74"/>
        <v>1868154.6000000006</v>
      </c>
      <c r="E317" s="38">
        <f t="shared" si="74"/>
        <v>1211529.3999999997</v>
      </c>
      <c r="F317" s="38">
        <f t="shared" si="74"/>
        <v>1200813.5599999991</v>
      </c>
      <c r="G317" s="39">
        <f t="shared" si="74"/>
        <v>5897530.4900000002</v>
      </c>
      <c r="H317" s="38">
        <f t="shared" si="74"/>
        <v>1375590.2400000005</v>
      </c>
      <c r="I317" s="38">
        <f t="shared" si="74"/>
        <v>517829.12000000017</v>
      </c>
      <c r="J317" s="38">
        <f t="shared" si="74"/>
        <v>861218.30999999994</v>
      </c>
      <c r="K317" s="38">
        <f t="shared" si="74"/>
        <v>884044.74</v>
      </c>
      <c r="L317" s="38">
        <f t="shared" si="74"/>
        <v>801227.92000000016</v>
      </c>
      <c r="M317" s="38">
        <f t="shared" si="74"/>
        <v>303270.3200000003</v>
      </c>
      <c r="N317" s="38">
        <f t="shared" si="74"/>
        <v>545477.20000000007</v>
      </c>
      <c r="O317" s="38">
        <f t="shared" si="74"/>
        <v>1641174.6899999992</v>
      </c>
      <c r="P317" s="38">
        <f t="shared" si="74"/>
        <v>74728.010000000038</v>
      </c>
      <c r="Q317" s="39">
        <f t="shared" si="74"/>
        <v>7004560.5500000007</v>
      </c>
      <c r="R317" s="38">
        <f>R314+R316-R266</f>
        <v>592138.51</v>
      </c>
      <c r="S317" s="38"/>
      <c r="T317" s="38"/>
      <c r="U317" s="38"/>
      <c r="V317" s="38"/>
      <c r="W317" s="83">
        <f>W314+W316-W266</f>
        <v>13494229.549999997</v>
      </c>
      <c r="X317" s="41">
        <f>W316+X314</f>
        <v>227555178.61999997</v>
      </c>
      <c r="Y317" s="9"/>
      <c r="Z317" s="9"/>
      <c r="AA317" s="9"/>
      <c r="AB317" s="9"/>
      <c r="AC317" s="9"/>
      <c r="AD317" s="9"/>
      <c r="AE317" s="9"/>
      <c r="AF317" s="9"/>
    </row>
    <row r="318" spans="1:32" ht="12.75" x14ac:dyDescent="0.2">
      <c r="A318" s="85"/>
      <c r="B318" s="43"/>
      <c r="C318" s="43"/>
      <c r="D318" s="43"/>
      <c r="E318" s="43"/>
      <c r="F318" s="43"/>
      <c r="G318" s="47"/>
      <c r="H318" s="43"/>
      <c r="I318" s="43"/>
      <c r="J318" s="43"/>
      <c r="K318" s="43"/>
      <c r="L318" s="43"/>
      <c r="M318" s="43"/>
      <c r="N318" s="43"/>
      <c r="O318" s="43"/>
      <c r="P318" s="43"/>
      <c r="Q318" s="47"/>
      <c r="R318" s="43"/>
      <c r="S318" s="43"/>
      <c r="T318" s="43"/>
      <c r="U318" s="43"/>
      <c r="V318" s="43"/>
      <c r="W318" s="87"/>
      <c r="X318" s="46"/>
      <c r="Y318" s="9"/>
      <c r="Z318" s="9"/>
      <c r="AA318" s="9"/>
      <c r="AB318" s="9"/>
      <c r="AC318" s="9"/>
      <c r="AD318" s="9"/>
      <c r="AE318" s="9"/>
      <c r="AF318" s="9"/>
    </row>
    <row r="319" spans="1:32" ht="12.75" x14ac:dyDescent="0.2">
      <c r="A319" s="82" t="s">
        <v>45</v>
      </c>
      <c r="B319" s="38">
        <v>4747.3900000000003</v>
      </c>
      <c r="C319" s="38">
        <v>124619.04</v>
      </c>
      <c r="D319" s="38">
        <v>144894.35999999999</v>
      </c>
      <c r="E319" s="38">
        <v>143905.32</v>
      </c>
      <c r="F319" s="38">
        <v>109536.18</v>
      </c>
      <c r="G319" s="39">
        <f>SUM(B319:F319)</f>
        <v>527702.29</v>
      </c>
      <c r="H319" s="38">
        <v>157110.44</v>
      </c>
      <c r="I319" s="38">
        <v>3911.14</v>
      </c>
      <c r="J319" s="38">
        <v>58962.01</v>
      </c>
      <c r="K319" s="38">
        <v>65311.77</v>
      </c>
      <c r="L319" s="38">
        <v>0</v>
      </c>
      <c r="M319" s="38">
        <v>36561.050000000003</v>
      </c>
      <c r="N319" s="38">
        <v>52289.59</v>
      </c>
      <c r="O319" s="38">
        <v>122738.06</v>
      </c>
      <c r="P319" s="38">
        <v>23530.21</v>
      </c>
      <c r="Q319" s="39">
        <f>SUM(H319:P319)</f>
        <v>520414.27</v>
      </c>
      <c r="R319" s="38">
        <v>80190.33</v>
      </c>
      <c r="S319" s="38"/>
      <c r="T319" s="38"/>
      <c r="U319" s="38"/>
      <c r="V319" s="38"/>
      <c r="W319" s="83">
        <f>Q319+G319+R319</f>
        <v>1128306.8900000001</v>
      </c>
      <c r="X319" s="41"/>
      <c r="Y319" s="9"/>
      <c r="Z319" s="9"/>
      <c r="AA319" s="9"/>
      <c r="AB319" s="9"/>
      <c r="AC319" s="9"/>
      <c r="AD319" s="9"/>
      <c r="AE319" s="9"/>
      <c r="AF319" s="9"/>
    </row>
    <row r="320" spans="1:32" ht="12.75" x14ac:dyDescent="0.2">
      <c r="A320" s="82" t="s">
        <v>42</v>
      </c>
      <c r="B320" s="38">
        <f t="shared" ref="B320:Q320" si="75">B317+B319-B269</f>
        <v>100113.64</v>
      </c>
      <c r="C320" s="38">
        <f t="shared" si="75"/>
        <v>1505728.5199999998</v>
      </c>
      <c r="D320" s="38">
        <f t="shared" si="75"/>
        <v>1867376.1600000004</v>
      </c>
      <c r="E320" s="38">
        <f t="shared" si="75"/>
        <v>1133271.5199999998</v>
      </c>
      <c r="F320" s="38">
        <f t="shared" si="75"/>
        <v>1192934.5399999991</v>
      </c>
      <c r="G320" s="39">
        <f t="shared" si="75"/>
        <v>5799424.3799999999</v>
      </c>
      <c r="H320" s="38">
        <f t="shared" si="75"/>
        <v>1481910.3200000003</v>
      </c>
      <c r="I320" s="38">
        <f t="shared" si="75"/>
        <v>521740.26000000018</v>
      </c>
      <c r="J320" s="38">
        <f t="shared" si="75"/>
        <v>852477.71</v>
      </c>
      <c r="K320" s="38">
        <f t="shared" si="75"/>
        <v>881495.43</v>
      </c>
      <c r="L320" s="38">
        <f t="shared" si="75"/>
        <v>695820.54000000015</v>
      </c>
      <c r="M320" s="38">
        <f t="shared" si="75"/>
        <v>310877.27000000031</v>
      </c>
      <c r="N320" s="38">
        <f t="shared" si="75"/>
        <v>551150.23</v>
      </c>
      <c r="O320" s="38">
        <f t="shared" si="75"/>
        <v>1643496.0399999993</v>
      </c>
      <c r="P320" s="38">
        <f t="shared" si="75"/>
        <v>98258.22000000003</v>
      </c>
      <c r="Q320" s="39">
        <f t="shared" si="75"/>
        <v>7037226.0200000005</v>
      </c>
      <c r="R320" s="38">
        <f>R317+R319-R269</f>
        <v>618453.68999999994</v>
      </c>
      <c r="S320" s="38"/>
      <c r="T320" s="38"/>
      <c r="U320" s="38"/>
      <c r="V320" s="38"/>
      <c r="W320" s="83">
        <f>W317+W319-W269</f>
        <v>13455104.089999998</v>
      </c>
      <c r="X320" s="41">
        <f>W319+X317</f>
        <v>228683485.50999996</v>
      </c>
      <c r="Y320" s="9"/>
      <c r="Z320" s="9"/>
      <c r="AA320" s="9"/>
      <c r="AB320" s="9"/>
      <c r="AC320" s="9"/>
      <c r="AD320" s="9"/>
      <c r="AE320" s="9"/>
      <c r="AF320" s="9"/>
    </row>
    <row r="321" spans="1:32" ht="12.75" x14ac:dyDescent="0.2">
      <c r="A321" s="85"/>
      <c r="B321" s="44"/>
      <c r="C321" s="44"/>
      <c r="D321" s="44"/>
      <c r="E321" s="44"/>
      <c r="F321" s="44"/>
      <c r="G321" s="45"/>
      <c r="H321" s="44"/>
      <c r="I321" s="44"/>
      <c r="J321" s="44"/>
      <c r="K321" s="44"/>
      <c r="L321" s="44"/>
      <c r="M321" s="44"/>
      <c r="N321" s="44"/>
      <c r="O321" s="44"/>
      <c r="P321" s="44"/>
      <c r="Q321" s="45"/>
      <c r="R321" s="43"/>
      <c r="S321" s="43"/>
      <c r="T321" s="43"/>
      <c r="U321" s="43"/>
      <c r="V321" s="43"/>
      <c r="W321" s="86"/>
      <c r="X321" s="46"/>
      <c r="Y321" s="9"/>
      <c r="Z321" s="9"/>
      <c r="AA321" s="9"/>
      <c r="AB321" s="9"/>
      <c r="AC321" s="9"/>
      <c r="AD321" s="9"/>
      <c r="AE321" s="9"/>
      <c r="AF321" s="9"/>
    </row>
    <row r="322" spans="1:32" ht="12.75" x14ac:dyDescent="0.2">
      <c r="A322" s="82" t="s">
        <v>46</v>
      </c>
      <c r="B322" s="38">
        <v>23539.15</v>
      </c>
      <c r="C322" s="38">
        <v>137971.07999999999</v>
      </c>
      <c r="D322" s="38">
        <v>254183.28</v>
      </c>
      <c r="E322" s="38">
        <v>120168.36</v>
      </c>
      <c r="F322" s="38">
        <v>123135.48</v>
      </c>
      <c r="G322" s="39">
        <f>SUM(B322:F322)</f>
        <v>658997.35</v>
      </c>
      <c r="H322" s="38">
        <v>193225.84</v>
      </c>
      <c r="I322" s="38">
        <v>118196.98</v>
      </c>
      <c r="J322" s="38">
        <v>63708.01</v>
      </c>
      <c r="K322" s="38">
        <v>57626.13</v>
      </c>
      <c r="L322" s="38">
        <v>70686.89</v>
      </c>
      <c r="M322" s="38">
        <v>30112.15</v>
      </c>
      <c r="N322" s="38">
        <v>3842.74</v>
      </c>
      <c r="O322" s="38">
        <v>127776.07</v>
      </c>
      <c r="P322" s="38">
        <v>73634.720000000001</v>
      </c>
      <c r="Q322" s="39">
        <f>SUM(H322:P322)</f>
        <v>738809.53</v>
      </c>
      <c r="R322" s="38">
        <v>85779.94</v>
      </c>
      <c r="S322" s="38"/>
      <c r="T322" s="38"/>
      <c r="U322" s="38"/>
      <c r="V322" s="38"/>
      <c r="W322" s="83">
        <f>Q322+G322+R322</f>
        <v>1483586.8199999998</v>
      </c>
      <c r="X322" s="41"/>
      <c r="Y322" s="9"/>
      <c r="Z322" s="9"/>
      <c r="AA322" s="9"/>
      <c r="AB322" s="9"/>
      <c r="AC322" s="9"/>
      <c r="AD322" s="9"/>
      <c r="AE322" s="9"/>
      <c r="AF322" s="9"/>
    </row>
    <row r="323" spans="1:32" ht="12.75" x14ac:dyDescent="0.2">
      <c r="A323" s="82" t="s">
        <v>42</v>
      </c>
      <c r="B323" s="38">
        <f t="shared" ref="B323:Q323" si="76">B320+B322-B272</f>
        <v>123652.79000000001</v>
      </c>
      <c r="C323" s="38">
        <f t="shared" si="76"/>
        <v>1499488.4</v>
      </c>
      <c r="D323" s="38">
        <f t="shared" si="76"/>
        <v>1984656.2400000005</v>
      </c>
      <c r="E323" s="38">
        <f t="shared" si="76"/>
        <v>1033469.0799999998</v>
      </c>
      <c r="F323" s="38">
        <f t="shared" si="76"/>
        <v>1194270.0199999991</v>
      </c>
      <c r="G323" s="39">
        <f t="shared" si="76"/>
        <v>5835536.5299999993</v>
      </c>
      <c r="H323" s="38">
        <f t="shared" si="76"/>
        <v>1614205.5700000003</v>
      </c>
      <c r="I323" s="38">
        <f t="shared" si="76"/>
        <v>639937.24000000022</v>
      </c>
      <c r="J323" s="38">
        <f t="shared" si="76"/>
        <v>847490.39</v>
      </c>
      <c r="K323" s="38">
        <f t="shared" si="76"/>
        <v>872612.13000000012</v>
      </c>
      <c r="L323" s="38">
        <f t="shared" si="76"/>
        <v>695947.91000000015</v>
      </c>
      <c r="M323" s="38">
        <f t="shared" si="76"/>
        <v>305319.34000000032</v>
      </c>
      <c r="N323" s="38">
        <f t="shared" si="76"/>
        <v>511467.8</v>
      </c>
      <c r="O323" s="38">
        <f t="shared" si="76"/>
        <v>1647494.7199999995</v>
      </c>
      <c r="P323" s="38">
        <f t="shared" si="76"/>
        <v>171892.94000000003</v>
      </c>
      <c r="Q323" s="39">
        <f t="shared" si="76"/>
        <v>7306368.040000001</v>
      </c>
      <c r="R323" s="38">
        <f>R320+R322-R272</f>
        <v>633231.07999999984</v>
      </c>
      <c r="S323" s="38"/>
      <c r="T323" s="38"/>
      <c r="U323" s="38"/>
      <c r="V323" s="38"/>
      <c r="W323" s="83">
        <f>W320+W322-W272</f>
        <v>13775135.649999999</v>
      </c>
      <c r="X323" s="41">
        <f>W322+X320</f>
        <v>230167072.32999995</v>
      </c>
      <c r="Y323" s="9"/>
      <c r="Z323" s="9"/>
      <c r="AA323" s="9"/>
      <c r="AB323" s="9"/>
      <c r="AC323" s="9"/>
      <c r="AD323" s="9"/>
      <c r="AE323" s="9"/>
      <c r="AF323" s="9"/>
    </row>
    <row r="324" spans="1:32" ht="12.75" x14ac:dyDescent="0.2">
      <c r="A324" s="85"/>
      <c r="B324" s="44"/>
      <c r="C324" s="44"/>
      <c r="D324" s="44"/>
      <c r="E324" s="44"/>
      <c r="F324" s="44"/>
      <c r="G324" s="45"/>
      <c r="H324" s="44"/>
      <c r="I324" s="44"/>
      <c r="J324" s="44"/>
      <c r="K324" s="44"/>
      <c r="L324" s="44"/>
      <c r="M324" s="44"/>
      <c r="N324" s="44"/>
      <c r="O324" s="44"/>
      <c r="P324" s="44"/>
      <c r="Q324" s="45"/>
      <c r="R324" s="43"/>
      <c r="S324" s="43"/>
      <c r="T324" s="43"/>
      <c r="U324" s="43"/>
      <c r="V324" s="43"/>
      <c r="W324" s="86"/>
      <c r="X324" s="46"/>
      <c r="Y324" s="9"/>
      <c r="Z324" s="9"/>
      <c r="AA324" s="9"/>
      <c r="AB324" s="9"/>
      <c r="AC324" s="9"/>
      <c r="AD324" s="9"/>
      <c r="AE324" s="9"/>
      <c r="AF324" s="9"/>
    </row>
    <row r="325" spans="1:32" ht="12.75" x14ac:dyDescent="0.2">
      <c r="A325" s="82" t="s">
        <v>47</v>
      </c>
      <c r="B325" s="38">
        <v>22958.19</v>
      </c>
      <c r="C325" s="38">
        <v>141185.46</v>
      </c>
      <c r="D325" s="38">
        <v>240831.24</v>
      </c>
      <c r="E325" s="38">
        <v>140685.66</v>
      </c>
      <c r="F325" s="38">
        <v>107310.84</v>
      </c>
      <c r="G325" s="39">
        <f>SUM(B325:F325)</f>
        <v>652971.39</v>
      </c>
      <c r="H325" s="38">
        <v>274888.11</v>
      </c>
      <c r="I325" s="38">
        <v>182745.53</v>
      </c>
      <c r="J325" s="38">
        <v>98095.42</v>
      </c>
      <c r="K325" s="38">
        <v>94111.88</v>
      </c>
      <c r="L325" s="38">
        <v>115647.78</v>
      </c>
      <c r="M325" s="38">
        <v>39156.32</v>
      </c>
      <c r="N325" s="38">
        <v>3004.43</v>
      </c>
      <c r="O325" s="38">
        <v>194562.32</v>
      </c>
      <c r="P325" s="38">
        <v>7918.63</v>
      </c>
      <c r="Q325" s="39">
        <f>SUM(H325:P325)</f>
        <v>1010130.42</v>
      </c>
      <c r="R325" s="38">
        <v>87882.5</v>
      </c>
      <c r="S325" s="38"/>
      <c r="T325" s="38"/>
      <c r="U325" s="38"/>
      <c r="V325" s="38"/>
      <c r="W325" s="83">
        <f>Q325+G325+R325</f>
        <v>1750984.31</v>
      </c>
      <c r="X325" s="41"/>
      <c r="Y325" s="9"/>
      <c r="Z325" s="9"/>
      <c r="AA325" s="9"/>
      <c r="AB325" s="9"/>
      <c r="AC325" s="9"/>
      <c r="AD325" s="9"/>
      <c r="AE325" s="9"/>
      <c r="AF325" s="9"/>
    </row>
    <row r="326" spans="1:32" ht="12.75" x14ac:dyDescent="0.2">
      <c r="A326" s="82" t="s">
        <v>42</v>
      </c>
      <c r="B326" s="38">
        <f t="shared" ref="B326:Q326" si="77">B323+B325-B275</f>
        <v>146610.98000000001</v>
      </c>
      <c r="C326" s="38">
        <f t="shared" si="77"/>
        <v>1501735.14</v>
      </c>
      <c r="D326" s="38">
        <f t="shared" si="77"/>
        <v>2088042.8400000003</v>
      </c>
      <c r="E326" s="38">
        <f t="shared" si="77"/>
        <v>1072193.8499999999</v>
      </c>
      <c r="F326" s="38">
        <f t="shared" si="77"/>
        <v>1205379.3599999992</v>
      </c>
      <c r="G326" s="39">
        <f>(G323+G325-G275)</f>
        <v>6013962.169999999</v>
      </c>
      <c r="H326" s="38">
        <f t="shared" si="77"/>
        <v>1780744.1</v>
      </c>
      <c r="I326" s="38">
        <f t="shared" si="77"/>
        <v>822682.77000000025</v>
      </c>
      <c r="J326" s="38">
        <f t="shared" si="77"/>
        <v>841436.01</v>
      </c>
      <c r="K326" s="38">
        <f t="shared" si="77"/>
        <v>863061.8600000001</v>
      </c>
      <c r="L326" s="38">
        <f t="shared" si="77"/>
        <v>662096.90000000014</v>
      </c>
      <c r="M326" s="38">
        <f t="shared" si="77"/>
        <v>292784.88000000035</v>
      </c>
      <c r="N326" s="38">
        <f t="shared" si="77"/>
        <v>435446.18</v>
      </c>
      <c r="O326" s="38">
        <f t="shared" si="77"/>
        <v>1642814.2499999995</v>
      </c>
      <c r="P326" s="38">
        <f t="shared" si="77"/>
        <v>179811.57000000004</v>
      </c>
      <c r="Q326" s="39">
        <f t="shared" si="77"/>
        <v>7520878.5200000005</v>
      </c>
      <c r="R326" s="38">
        <f>R323+R325-R275</f>
        <v>645904.96999999986</v>
      </c>
      <c r="S326" s="38"/>
      <c r="T326" s="38"/>
      <c r="U326" s="38"/>
      <c r="V326" s="38"/>
      <c r="W326" s="83">
        <f>W323+W325-W275</f>
        <v>14180745.659999998</v>
      </c>
      <c r="X326" s="41">
        <f>W325+X323</f>
        <v>231918056.63999996</v>
      </c>
      <c r="Y326" s="9"/>
      <c r="Z326" s="9"/>
      <c r="AA326" s="9"/>
      <c r="AB326" s="9"/>
      <c r="AC326" s="9"/>
      <c r="AD326" s="9"/>
      <c r="AE326" s="9"/>
      <c r="AF326" s="9"/>
    </row>
    <row r="327" spans="1:32" ht="12.75" x14ac:dyDescent="0.2">
      <c r="A327" s="85"/>
      <c r="B327" s="43"/>
      <c r="C327" s="43"/>
      <c r="D327" s="43"/>
      <c r="E327" s="43"/>
      <c r="F327" s="43"/>
      <c r="G327" s="47"/>
      <c r="H327" s="43"/>
      <c r="I327" s="43"/>
      <c r="J327" s="43"/>
      <c r="K327" s="43"/>
      <c r="L327" s="43"/>
      <c r="M327" s="43"/>
      <c r="N327" s="43"/>
      <c r="O327" s="43"/>
      <c r="P327" s="43"/>
      <c r="Q327" s="47"/>
      <c r="R327" s="43"/>
      <c r="S327" s="43"/>
      <c r="T327" s="43"/>
      <c r="U327" s="43"/>
      <c r="V327" s="43"/>
      <c r="W327" s="87"/>
      <c r="X327" s="46"/>
      <c r="Y327" s="9"/>
      <c r="Z327" s="9"/>
      <c r="AA327" s="9"/>
      <c r="AB327" s="9"/>
      <c r="AC327" s="9"/>
      <c r="AD327" s="9"/>
      <c r="AE327" s="9"/>
      <c r="AF327" s="9"/>
    </row>
    <row r="328" spans="1:32" ht="12.75" x14ac:dyDescent="0.2">
      <c r="A328" s="82" t="s">
        <v>48</v>
      </c>
      <c r="B328" s="38">
        <v>0</v>
      </c>
      <c r="C328" s="38">
        <v>141493.59</v>
      </c>
      <c r="D328" s="38">
        <v>138065.81</v>
      </c>
      <c r="E328" s="38">
        <v>190266.57</v>
      </c>
      <c r="F328" s="38">
        <v>119060.64</v>
      </c>
      <c r="G328" s="39">
        <f>SUM(B328:F328)</f>
        <v>588886.61</v>
      </c>
      <c r="H328" s="38">
        <v>85003.66</v>
      </c>
      <c r="I328" s="38">
        <v>1399.02</v>
      </c>
      <c r="J328" s="38">
        <v>104328.81</v>
      </c>
      <c r="K328" s="38">
        <v>103644.36</v>
      </c>
      <c r="L328" s="38">
        <v>177698.66</v>
      </c>
      <c r="M328" s="38">
        <v>21541.62</v>
      </c>
      <c r="N328" s="38">
        <v>86615.37</v>
      </c>
      <c r="O328" s="38">
        <v>215524.71</v>
      </c>
      <c r="P328" s="38">
        <v>0</v>
      </c>
      <c r="Q328" s="39">
        <f>SUM(H328:P328)</f>
        <v>795756.21</v>
      </c>
      <c r="R328" s="38">
        <v>189673.88</v>
      </c>
      <c r="S328" s="38"/>
      <c r="T328" s="38"/>
      <c r="U328" s="38"/>
      <c r="V328" s="38"/>
      <c r="W328" s="83">
        <f>Q328+G328+R328</f>
        <v>1574316.6999999997</v>
      </c>
      <c r="X328" s="41"/>
      <c r="Y328" s="9"/>
      <c r="Z328" s="9"/>
      <c r="AA328" s="168">
        <f>G328</f>
        <v>588886.61</v>
      </c>
      <c r="AB328" s="9"/>
      <c r="AC328" s="9"/>
      <c r="AD328" s="9"/>
      <c r="AE328" s="9"/>
      <c r="AF328" s="9"/>
    </row>
    <row r="329" spans="1:32" ht="12.75" x14ac:dyDescent="0.2">
      <c r="A329" s="82" t="s">
        <v>42</v>
      </c>
      <c r="B329" s="38">
        <f t="shared" ref="B329:Q329" si="78">B326+B328-B278</f>
        <v>146610.98000000001</v>
      </c>
      <c r="C329" s="38">
        <f t="shared" si="78"/>
        <v>1507056.33</v>
      </c>
      <c r="D329" s="38">
        <f t="shared" si="78"/>
        <v>2065332.6500000004</v>
      </c>
      <c r="E329" s="38">
        <f t="shared" si="78"/>
        <v>1076837.22</v>
      </c>
      <c r="F329" s="38">
        <f t="shared" si="78"/>
        <v>1198985.9999999991</v>
      </c>
      <c r="G329" s="39">
        <f t="shared" si="78"/>
        <v>5994823.1799999997</v>
      </c>
      <c r="H329" s="38">
        <f t="shared" si="78"/>
        <v>1762856.01</v>
      </c>
      <c r="I329" s="38">
        <f t="shared" si="78"/>
        <v>824081.79000000027</v>
      </c>
      <c r="J329" s="38">
        <f t="shared" si="78"/>
        <v>868246.64000000013</v>
      </c>
      <c r="K329" s="38">
        <f t="shared" si="78"/>
        <v>882839.55</v>
      </c>
      <c r="L329" s="38">
        <f t="shared" si="78"/>
        <v>678245.39000000013</v>
      </c>
      <c r="M329" s="38">
        <f t="shared" si="78"/>
        <v>265678.44000000035</v>
      </c>
      <c r="N329" s="38">
        <f t="shared" si="78"/>
        <v>434534.06</v>
      </c>
      <c r="O329" s="38">
        <f t="shared" si="78"/>
        <v>1665989.7499999995</v>
      </c>
      <c r="P329" s="38">
        <f t="shared" si="78"/>
        <v>179811.57000000004</v>
      </c>
      <c r="Q329" s="39">
        <f t="shared" si="78"/>
        <v>7562283.2000000002</v>
      </c>
      <c r="R329" s="38">
        <f>R326+R328-R278</f>
        <v>659510.72999999986</v>
      </c>
      <c r="S329" s="38"/>
      <c r="T329" s="38"/>
      <c r="U329" s="38"/>
      <c r="V329" s="38"/>
      <c r="W329" s="83">
        <f>W326+W328-W278</f>
        <v>14216617.109999998</v>
      </c>
      <c r="X329" s="41">
        <f>W328+X326</f>
        <v>233492373.33999994</v>
      </c>
      <c r="Y329" s="9"/>
      <c r="Z329" s="9"/>
      <c r="AA329" s="9"/>
      <c r="AB329" s="9"/>
      <c r="AC329" s="9"/>
      <c r="AD329" s="9"/>
      <c r="AE329" s="9"/>
      <c r="AF329" s="9"/>
    </row>
    <row r="330" spans="1:32" ht="12.75" x14ac:dyDescent="0.2">
      <c r="A330" s="85"/>
      <c r="B330" s="44"/>
      <c r="C330" s="44"/>
      <c r="D330" s="44"/>
      <c r="E330" s="44"/>
      <c r="F330" s="44"/>
      <c r="G330" s="45"/>
      <c r="H330" s="44"/>
      <c r="I330" s="44"/>
      <c r="J330" s="44"/>
      <c r="K330" s="44"/>
      <c r="L330" s="44"/>
      <c r="M330" s="44"/>
      <c r="N330" s="44"/>
      <c r="O330" s="44"/>
      <c r="P330" s="44"/>
      <c r="Q330" s="45"/>
      <c r="R330" s="43"/>
      <c r="S330" s="43"/>
      <c r="T330" s="43"/>
      <c r="U330" s="43"/>
      <c r="V330" s="43"/>
      <c r="W330" s="86"/>
      <c r="X330" s="46"/>
      <c r="Y330" s="9"/>
      <c r="Z330" s="9"/>
      <c r="AA330" s="9"/>
      <c r="AB330" s="9"/>
      <c r="AC330" s="9"/>
      <c r="AD330" s="9"/>
      <c r="AE330" s="9"/>
      <c r="AF330" s="9"/>
    </row>
    <row r="331" spans="1:32" ht="12.75" x14ac:dyDescent="0.2">
      <c r="A331" s="82" t="s">
        <v>49</v>
      </c>
      <c r="B331" s="38">
        <v>0</v>
      </c>
      <c r="C331" s="38">
        <v>142421.76000000001</v>
      </c>
      <c r="D331" s="38">
        <v>121651.92</v>
      </c>
      <c r="E331" s="38">
        <v>159111.81</v>
      </c>
      <c r="F331" s="38">
        <v>135498.48000000001</v>
      </c>
      <c r="G331" s="39">
        <f>SUM(B331:F331)</f>
        <v>558683.97</v>
      </c>
      <c r="H331" s="38">
        <v>133491.03</v>
      </c>
      <c r="I331" s="38">
        <v>9311.2000000000007</v>
      </c>
      <c r="J331" s="38">
        <v>82892.42</v>
      </c>
      <c r="K331" s="38">
        <v>93736.36</v>
      </c>
      <c r="L331" s="38">
        <v>77905.179999999993</v>
      </c>
      <c r="M331" s="38">
        <v>43597.05</v>
      </c>
      <c r="N331" s="38">
        <v>105180.97</v>
      </c>
      <c r="O331" s="38">
        <v>196269.32</v>
      </c>
      <c r="P331" s="38">
        <v>0</v>
      </c>
      <c r="Q331" s="39">
        <f>SUM(H331:P331)</f>
        <v>742383.53</v>
      </c>
      <c r="R331" s="38">
        <v>122833.2</v>
      </c>
      <c r="S331" s="38"/>
      <c r="T331" s="38"/>
      <c r="U331" s="38"/>
      <c r="V331" s="38"/>
      <c r="W331" s="83">
        <f>Q331+G331+R331</f>
        <v>1423900.7</v>
      </c>
      <c r="X331" s="41"/>
      <c r="Y331" s="9"/>
      <c r="Z331" s="9"/>
      <c r="AA331" s="168">
        <f>G331</f>
        <v>558683.97</v>
      </c>
      <c r="AB331" s="168">
        <f>AA328+AA331</f>
        <v>1147570.58</v>
      </c>
      <c r="AC331" s="9"/>
      <c r="AD331" s="9"/>
      <c r="AE331" s="9"/>
      <c r="AF331" s="9"/>
    </row>
    <row r="332" spans="1:32" ht="12.75" x14ac:dyDescent="0.2">
      <c r="A332" s="82" t="s">
        <v>42</v>
      </c>
      <c r="B332" s="38">
        <f t="shared" ref="B332:Q332" si="79">B329+B331-B281</f>
        <v>132774.5</v>
      </c>
      <c r="C332" s="38">
        <f t="shared" si="79"/>
        <v>1516716.09</v>
      </c>
      <c r="D332" s="38">
        <f t="shared" si="79"/>
        <v>1955564.5700000003</v>
      </c>
      <c r="E332" s="38">
        <f t="shared" si="79"/>
        <v>1011228.03</v>
      </c>
      <c r="F332" s="38">
        <f t="shared" si="79"/>
        <v>1208543.2799999991</v>
      </c>
      <c r="G332" s="39">
        <f t="shared" si="79"/>
        <v>5824826.4699999997</v>
      </c>
      <c r="H332" s="38">
        <f t="shared" si="79"/>
        <v>1618567.05</v>
      </c>
      <c r="I332" s="38">
        <f t="shared" si="79"/>
        <v>651481.90000000026</v>
      </c>
      <c r="J332" s="38">
        <f t="shared" si="79"/>
        <v>851028.86000000022</v>
      </c>
      <c r="K332" s="38">
        <f t="shared" si="79"/>
        <v>875005.56</v>
      </c>
      <c r="L332" s="38">
        <f t="shared" si="79"/>
        <v>597837.63000000012</v>
      </c>
      <c r="M332" s="38">
        <f t="shared" si="79"/>
        <v>262385.47000000032</v>
      </c>
      <c r="N332" s="38">
        <f t="shared" si="79"/>
        <v>464206.97000000003</v>
      </c>
      <c r="O332" s="38">
        <f t="shared" si="79"/>
        <v>1665058.8999999997</v>
      </c>
      <c r="P332" s="38">
        <f t="shared" si="79"/>
        <v>179811.57000000004</v>
      </c>
      <c r="Q332" s="39">
        <f t="shared" si="79"/>
        <v>7165383.9100000001</v>
      </c>
      <c r="R332" s="38">
        <f>R329+R331-R281</f>
        <v>654999.45999999985</v>
      </c>
      <c r="S332" s="38"/>
      <c r="T332" s="38"/>
      <c r="U332" s="38"/>
      <c r="V332" s="38"/>
      <c r="W332" s="83">
        <f>W329+W331-W281</f>
        <v>13645209.839999996</v>
      </c>
      <c r="X332" s="41">
        <f>W331+X329</f>
        <v>234916274.03999993</v>
      </c>
      <c r="Y332" s="9"/>
      <c r="Z332" s="9"/>
      <c r="AA332" s="9"/>
      <c r="AB332" s="9"/>
      <c r="AC332" s="9"/>
      <c r="AD332" s="9"/>
      <c r="AE332" s="9"/>
      <c r="AF332" s="9"/>
    </row>
    <row r="333" spans="1:32" ht="12.75" x14ac:dyDescent="0.2">
      <c r="A333" s="85"/>
      <c r="B333" s="43"/>
      <c r="C333" s="43"/>
      <c r="D333" s="43"/>
      <c r="E333" s="43"/>
      <c r="F333" s="43"/>
      <c r="G333" s="47"/>
      <c r="H333" s="43"/>
      <c r="I333" s="43"/>
      <c r="J333" s="43"/>
      <c r="K333" s="43"/>
      <c r="L333" s="43"/>
      <c r="M333" s="43"/>
      <c r="N333" s="43"/>
      <c r="O333" s="43"/>
      <c r="P333" s="43"/>
      <c r="Q333" s="47"/>
      <c r="R333" s="43"/>
      <c r="S333" s="43"/>
      <c r="T333" s="43"/>
      <c r="U333" s="43"/>
      <c r="V333" s="43"/>
      <c r="W333" s="87"/>
      <c r="X333" s="46"/>
    </row>
    <row r="334" spans="1:32" ht="12.75" x14ac:dyDescent="0.2">
      <c r="A334" s="82" t="s">
        <v>50</v>
      </c>
      <c r="B334" s="38">
        <v>0</v>
      </c>
      <c r="C334" s="38">
        <v>129811.5</v>
      </c>
      <c r="D334" s="38">
        <v>100882.08</v>
      </c>
      <c r="E334" s="38">
        <v>153919.35</v>
      </c>
      <c r="F334" s="38">
        <v>115717.68</v>
      </c>
      <c r="G334" s="39">
        <f>SUM(B334:F334)</f>
        <v>500330.61000000004</v>
      </c>
      <c r="H334" s="38">
        <v>107521.87</v>
      </c>
      <c r="I334" s="38">
        <v>15464.09</v>
      </c>
      <c r="J334" s="38">
        <v>79717.08</v>
      </c>
      <c r="K334" s="38">
        <v>97624.22</v>
      </c>
      <c r="L334" s="38">
        <v>0</v>
      </c>
      <c r="M334" s="38">
        <v>44208.34</v>
      </c>
      <c r="N334" s="38">
        <v>99680.41</v>
      </c>
      <c r="O334" s="38">
        <v>161108.65</v>
      </c>
      <c r="P334" s="38">
        <v>0</v>
      </c>
      <c r="Q334" s="39">
        <f>SUM(H334:P334)</f>
        <v>605324.66</v>
      </c>
      <c r="R334" s="38">
        <v>109001.58</v>
      </c>
      <c r="S334" s="38"/>
      <c r="T334" s="38"/>
      <c r="U334" s="38"/>
      <c r="V334" s="38"/>
      <c r="W334" s="83">
        <f>Q334+G334+R334</f>
        <v>1214656.8500000001</v>
      </c>
      <c r="X334" s="41"/>
      <c r="Y334" s="9"/>
      <c r="AA334" s="168">
        <f>G334</f>
        <v>500330.61000000004</v>
      </c>
      <c r="AB334" s="168">
        <f>AB331+AA334</f>
        <v>1647901.1900000002</v>
      </c>
    </row>
    <row r="335" spans="1:32" ht="12.75" x14ac:dyDescent="0.2">
      <c r="A335" s="82" t="s">
        <v>42</v>
      </c>
      <c r="B335" s="38">
        <f t="shared" ref="B335:Q335" si="80">B332+B334-B284</f>
        <v>108414.5</v>
      </c>
      <c r="C335" s="38">
        <f t="shared" si="80"/>
        <v>1516932.3900000001</v>
      </c>
      <c r="D335" s="38">
        <f t="shared" si="80"/>
        <v>1838181.0500000003</v>
      </c>
      <c r="E335" s="38">
        <f t="shared" si="80"/>
        <v>980985.78000000014</v>
      </c>
      <c r="F335" s="38">
        <f t="shared" si="80"/>
        <v>1201242.959999999</v>
      </c>
      <c r="G335" s="39">
        <f t="shared" si="80"/>
        <v>5645756.6799999997</v>
      </c>
      <c r="H335" s="38">
        <f t="shared" si="80"/>
        <v>1467516.04</v>
      </c>
      <c r="I335" s="38">
        <f t="shared" si="80"/>
        <v>490520.11000000022</v>
      </c>
      <c r="J335" s="38">
        <f t="shared" si="80"/>
        <v>850938.82000000018</v>
      </c>
      <c r="K335" s="38">
        <f t="shared" si="80"/>
        <v>896884.14</v>
      </c>
      <c r="L335" s="38">
        <f t="shared" si="80"/>
        <v>441938.51000000013</v>
      </c>
      <c r="M335" s="38">
        <f t="shared" si="80"/>
        <v>269186.33000000031</v>
      </c>
      <c r="N335" s="38">
        <f t="shared" si="80"/>
        <v>522174.82</v>
      </c>
      <c r="O335" s="38">
        <f t="shared" si="80"/>
        <v>1656747.3499999996</v>
      </c>
      <c r="P335" s="38">
        <f t="shared" si="80"/>
        <v>179811.57000000004</v>
      </c>
      <c r="Q335" s="39">
        <f t="shared" si="80"/>
        <v>6775717.6900000004</v>
      </c>
      <c r="R335" s="38">
        <f>R332+R334-R284</f>
        <v>675361.42999999982</v>
      </c>
      <c r="S335" s="38"/>
      <c r="T335" s="38"/>
      <c r="U335" s="38"/>
      <c r="V335" s="38"/>
      <c r="W335" s="83">
        <f>W332+W334-W284</f>
        <v>13096835.799999995</v>
      </c>
      <c r="X335" s="41">
        <f>W334+X332</f>
        <v>236130930.88999993</v>
      </c>
      <c r="AA335" s="9"/>
    </row>
    <row r="336" spans="1:32" ht="12.75" x14ac:dyDescent="0.2">
      <c r="A336" s="85"/>
      <c r="B336" s="43"/>
      <c r="C336" s="43"/>
      <c r="D336" s="43"/>
      <c r="E336" s="43"/>
      <c r="F336" s="43"/>
      <c r="G336" s="47"/>
      <c r="H336" s="43"/>
      <c r="I336" s="43"/>
      <c r="J336" s="43"/>
      <c r="K336" s="43"/>
      <c r="L336" s="43"/>
      <c r="M336" s="43"/>
      <c r="N336" s="43"/>
      <c r="O336" s="43"/>
      <c r="P336" s="43"/>
      <c r="Q336" s="47"/>
      <c r="R336" s="43"/>
      <c r="S336" s="43"/>
      <c r="T336" s="43"/>
      <c r="U336" s="43"/>
      <c r="V336" s="43"/>
      <c r="W336" s="87"/>
      <c r="X336" s="46"/>
      <c r="AA336" s="9"/>
    </row>
    <row r="337" spans="1:29" ht="12.75" x14ac:dyDescent="0.2">
      <c r="A337" s="82" t="s">
        <v>51</v>
      </c>
      <c r="B337" s="38">
        <v>1978.08</v>
      </c>
      <c r="C337" s="38">
        <v>117695.76</v>
      </c>
      <c r="D337" s="38">
        <v>174071.04000000001</v>
      </c>
      <c r="E337" s="38">
        <v>139454.64000000001</v>
      </c>
      <c r="F337" s="38">
        <v>83821.14</v>
      </c>
      <c r="G337" s="39">
        <f>SUM(B337:F337)</f>
        <v>517020.66000000003</v>
      </c>
      <c r="H337" s="38">
        <v>13216.16</v>
      </c>
      <c r="I337" s="38">
        <v>0</v>
      </c>
      <c r="J337" s="38">
        <v>51331.12</v>
      </c>
      <c r="K337" s="38">
        <v>55259.56</v>
      </c>
      <c r="L337" s="38">
        <v>0</v>
      </c>
      <c r="M337" s="38">
        <v>28830.38</v>
      </c>
      <c r="N337" s="38">
        <v>59504.62</v>
      </c>
      <c r="O337" s="38">
        <v>107261.29</v>
      </c>
      <c r="P337" s="38">
        <v>0</v>
      </c>
      <c r="Q337" s="139">
        <f>SUM(H337:P337)+345944.91</f>
        <v>661348.04</v>
      </c>
      <c r="R337" s="40">
        <v>0</v>
      </c>
      <c r="S337" s="40"/>
      <c r="T337" s="40"/>
      <c r="U337" s="40"/>
      <c r="V337" s="40"/>
      <c r="W337" s="83">
        <f>Q337+G337+R337</f>
        <v>1178368.7000000002</v>
      </c>
      <c r="X337" s="41"/>
      <c r="Y337" s="9"/>
      <c r="AA337" s="168">
        <f>G337</f>
        <v>517020.66000000003</v>
      </c>
      <c r="AB337" s="168">
        <f>AB334+AA337</f>
        <v>2164921.85</v>
      </c>
    </row>
    <row r="338" spans="1:29" ht="12.75" x14ac:dyDescent="0.2">
      <c r="A338" s="82" t="s">
        <v>42</v>
      </c>
      <c r="B338" s="38">
        <f t="shared" ref="B338:Q338" si="81">B335+B337-B287</f>
        <v>85837.7</v>
      </c>
      <c r="C338" s="38">
        <f t="shared" si="81"/>
        <v>1503571.35</v>
      </c>
      <c r="D338" s="38">
        <f t="shared" si="81"/>
        <v>1771575.2900000003</v>
      </c>
      <c r="E338" s="38">
        <f t="shared" si="81"/>
        <v>1119709.6200000001</v>
      </c>
      <c r="F338" s="38">
        <f t="shared" si="81"/>
        <v>1158635.699999999</v>
      </c>
      <c r="G338" s="39">
        <f t="shared" si="81"/>
        <v>5639329.6600000001</v>
      </c>
      <c r="H338" s="38">
        <f t="shared" si="81"/>
        <v>1269635.26</v>
      </c>
      <c r="I338" s="38">
        <f t="shared" si="81"/>
        <v>339838.42000000022</v>
      </c>
      <c r="J338" s="38">
        <f t="shared" si="81"/>
        <v>834356.83000000019</v>
      </c>
      <c r="K338" s="38">
        <f t="shared" si="81"/>
        <v>884271.87999999989</v>
      </c>
      <c r="L338" s="38">
        <f t="shared" si="81"/>
        <v>441938.51000000013</v>
      </c>
      <c r="M338" s="38">
        <f t="shared" si="81"/>
        <v>274787.48000000033</v>
      </c>
      <c r="N338" s="38">
        <f t="shared" si="81"/>
        <v>581679.44000000006</v>
      </c>
      <c r="O338" s="38">
        <f t="shared" si="81"/>
        <v>1646327.4699999997</v>
      </c>
      <c r="P338" s="38">
        <f t="shared" si="81"/>
        <v>105083.56000000004</v>
      </c>
      <c r="Q338" s="39">
        <f t="shared" si="81"/>
        <v>6723863.7600000007</v>
      </c>
      <c r="R338" s="38">
        <f>R335+R337-R287</f>
        <v>675361.42999999982</v>
      </c>
      <c r="S338" s="38"/>
      <c r="T338" s="38"/>
      <c r="U338" s="38"/>
      <c r="V338" s="38"/>
      <c r="W338" s="83">
        <f>W335+W337-W287</f>
        <v>13038554.849999996</v>
      </c>
      <c r="X338" s="41">
        <f>W337+X335</f>
        <v>237309299.58999991</v>
      </c>
    </row>
    <row r="339" spans="1:29" ht="12.75" x14ac:dyDescent="0.2">
      <c r="A339" s="85"/>
      <c r="B339" s="44"/>
      <c r="C339" s="44"/>
      <c r="D339" s="44"/>
      <c r="E339" s="44"/>
      <c r="F339" s="44"/>
      <c r="G339" s="45"/>
      <c r="H339" s="44"/>
      <c r="I339" s="44"/>
      <c r="J339" s="44"/>
      <c r="K339" s="44"/>
      <c r="L339" s="44"/>
      <c r="M339" s="44"/>
      <c r="N339" s="44"/>
      <c r="O339" s="44"/>
      <c r="P339" s="44"/>
      <c r="Q339" s="45"/>
      <c r="R339" s="43"/>
      <c r="S339" s="43"/>
      <c r="T339" s="43"/>
      <c r="U339" s="43"/>
      <c r="V339" s="43"/>
      <c r="W339" s="86"/>
      <c r="X339" s="46"/>
    </row>
    <row r="340" spans="1:29" ht="12.75" x14ac:dyDescent="0.2">
      <c r="A340" s="82" t="s">
        <v>52</v>
      </c>
      <c r="B340" s="38">
        <v>791.23</v>
      </c>
      <c r="C340" s="38">
        <v>109536.18</v>
      </c>
      <c r="D340" s="38">
        <v>166653.24</v>
      </c>
      <c r="E340" s="38">
        <v>28558.53</v>
      </c>
      <c r="F340" s="38">
        <v>110277.96</v>
      </c>
      <c r="G340" s="39">
        <f>SUM(B340:F340)</f>
        <v>415817.13999999996</v>
      </c>
      <c r="H340" s="38">
        <v>5863.71</v>
      </c>
      <c r="I340" s="38">
        <v>0</v>
      </c>
      <c r="J340" s="38">
        <v>62174.97</v>
      </c>
      <c r="K340" s="38">
        <v>62079.360000000001</v>
      </c>
      <c r="L340" s="38">
        <v>0</v>
      </c>
      <c r="M340" s="38">
        <v>8960.5300000000007</v>
      </c>
      <c r="N340" s="38">
        <v>55808.76</v>
      </c>
      <c r="O340" s="38">
        <v>108767.56</v>
      </c>
      <c r="P340" s="38">
        <v>0</v>
      </c>
      <c r="Q340" s="39">
        <f>SUM(H340:P340)</f>
        <v>303654.89</v>
      </c>
      <c r="R340" s="40">
        <v>0</v>
      </c>
      <c r="S340" s="40"/>
      <c r="T340" s="40"/>
      <c r="U340" s="40"/>
      <c r="V340" s="40"/>
      <c r="W340" s="83">
        <f>Q340+G340+R340</f>
        <v>719472.03</v>
      </c>
      <c r="X340" s="41"/>
      <c r="Y340" s="9"/>
      <c r="AA340" s="168">
        <f>G340</f>
        <v>415817.13999999996</v>
      </c>
      <c r="AB340" s="168">
        <f>AB337+AA340</f>
        <v>2580738.9900000002</v>
      </c>
    </row>
    <row r="341" spans="1:29" ht="12.75" x14ac:dyDescent="0.2">
      <c r="A341" s="82" t="s">
        <v>42</v>
      </c>
      <c r="B341" s="38">
        <f t="shared" ref="B341:Q341" si="82">B338+B340-B290</f>
        <v>85069.89</v>
      </c>
      <c r="C341" s="38">
        <f t="shared" si="82"/>
        <v>1501051.53</v>
      </c>
      <c r="D341" s="38">
        <f t="shared" si="82"/>
        <v>1763323.7300000002</v>
      </c>
      <c r="E341" s="38">
        <f t="shared" si="82"/>
        <v>1148268.1500000001</v>
      </c>
      <c r="F341" s="38">
        <f t="shared" si="82"/>
        <v>1168794.0599999989</v>
      </c>
      <c r="G341" s="39">
        <f t="shared" si="82"/>
        <v>5666507.3599999994</v>
      </c>
      <c r="H341" s="38">
        <f t="shared" si="82"/>
        <v>1249219.43</v>
      </c>
      <c r="I341" s="38">
        <f t="shared" si="82"/>
        <v>331450.06000000023</v>
      </c>
      <c r="J341" s="38">
        <f t="shared" si="82"/>
        <v>835978.45000000019</v>
      </c>
      <c r="K341" s="38">
        <f t="shared" si="82"/>
        <v>885785.33999999985</v>
      </c>
      <c r="L341" s="38">
        <f t="shared" si="82"/>
        <v>441938.51000000013</v>
      </c>
      <c r="M341" s="38">
        <f t="shared" si="82"/>
        <v>275743.20000000036</v>
      </c>
      <c r="N341" s="38">
        <f t="shared" si="82"/>
        <v>594917.52</v>
      </c>
      <c r="O341" s="38">
        <f t="shared" si="82"/>
        <v>1668110.2699999998</v>
      </c>
      <c r="P341" s="38">
        <f t="shared" si="82"/>
        <v>105083.56000000004</v>
      </c>
      <c r="Q341" s="39">
        <f t="shared" si="82"/>
        <v>6734171.25</v>
      </c>
      <c r="R341" s="38">
        <f>R338+R340-R290</f>
        <v>675361.42999999982</v>
      </c>
      <c r="S341" s="38"/>
      <c r="T341" s="38"/>
      <c r="U341" s="38"/>
      <c r="V341" s="38"/>
      <c r="W341" s="83">
        <f>W338+W340-W290</f>
        <v>13076040.039999995</v>
      </c>
      <c r="X341" s="41">
        <f>W340+X338</f>
        <v>238028771.61999992</v>
      </c>
      <c r="AA341" s="9"/>
    </row>
    <row r="342" spans="1:29" ht="12.75" x14ac:dyDescent="0.2">
      <c r="A342" s="85"/>
      <c r="B342" s="43"/>
      <c r="C342" s="43"/>
      <c r="D342" s="43"/>
      <c r="E342" s="43"/>
      <c r="F342" s="43"/>
      <c r="G342" s="47"/>
      <c r="H342" s="43"/>
      <c r="I342" s="43"/>
      <c r="J342" s="43"/>
      <c r="K342" s="43"/>
      <c r="L342" s="43"/>
      <c r="M342" s="43"/>
      <c r="N342" s="43"/>
      <c r="O342" s="43"/>
      <c r="P342" s="43"/>
      <c r="Q342" s="47"/>
      <c r="R342" s="43"/>
      <c r="S342" s="43"/>
      <c r="T342" s="43"/>
      <c r="U342" s="43"/>
      <c r="V342" s="43"/>
      <c r="W342" s="87"/>
      <c r="X342" s="46"/>
      <c r="AA342" s="9"/>
    </row>
    <row r="343" spans="1:29" ht="12.75" x14ac:dyDescent="0.2">
      <c r="A343" s="82" t="s">
        <v>53</v>
      </c>
      <c r="B343" s="38">
        <v>0</v>
      </c>
      <c r="C343" s="38">
        <v>122888.22</v>
      </c>
      <c r="D343" s="38">
        <v>100387.56</v>
      </c>
      <c r="E343" s="38">
        <v>53408.160000000003</v>
      </c>
      <c r="F343" s="38">
        <v>67501.98</v>
      </c>
      <c r="G343" s="39">
        <f>SUM(B343:F343)</f>
        <v>344185.92</v>
      </c>
      <c r="H343" s="38">
        <v>0</v>
      </c>
      <c r="I343" s="38">
        <v>0</v>
      </c>
      <c r="J343" s="38">
        <v>69480.820000000007</v>
      </c>
      <c r="K343" s="38">
        <v>69096.13</v>
      </c>
      <c r="L343" s="38">
        <v>0</v>
      </c>
      <c r="M343" s="38">
        <v>0</v>
      </c>
      <c r="N343" s="38">
        <v>69019.199999999997</v>
      </c>
      <c r="O343" s="38">
        <v>103270.46</v>
      </c>
      <c r="P343" s="38">
        <v>0</v>
      </c>
      <c r="Q343" s="39">
        <f>SUM(H343:P343)</f>
        <v>310866.61000000004</v>
      </c>
      <c r="R343" s="40">
        <v>0</v>
      </c>
      <c r="S343" s="40"/>
      <c r="T343" s="40"/>
      <c r="U343" s="40"/>
      <c r="V343" s="40"/>
      <c r="W343" s="83">
        <f>Q343+G343+R343</f>
        <v>655052.53</v>
      </c>
      <c r="X343" s="41"/>
      <c r="AA343" s="168">
        <f>G343</f>
        <v>344185.92</v>
      </c>
      <c r="AB343" s="168">
        <f>AB340+AA343</f>
        <v>2924924.91</v>
      </c>
      <c r="AC343" s="1">
        <v>2924924.91</v>
      </c>
    </row>
    <row r="344" spans="1:29" ht="13.5" thickBot="1" x14ac:dyDescent="0.25">
      <c r="A344" s="88" t="s">
        <v>42</v>
      </c>
      <c r="B344" s="49">
        <f t="shared" ref="B344:Q344" si="83">B341+B343-B293</f>
        <v>85069.89</v>
      </c>
      <c r="C344" s="49">
        <f t="shared" si="83"/>
        <v>1500434.55</v>
      </c>
      <c r="D344" s="49">
        <f t="shared" si="83"/>
        <v>1749706.4900000002</v>
      </c>
      <c r="E344" s="49">
        <f t="shared" si="83"/>
        <v>1143943.1100000001</v>
      </c>
      <c r="F344" s="49">
        <f t="shared" si="83"/>
        <v>1145189.639999999</v>
      </c>
      <c r="G344" s="50">
        <f t="shared" si="83"/>
        <v>5624343.6799999997</v>
      </c>
      <c r="H344" s="49">
        <f t="shared" si="83"/>
        <v>1249219.43</v>
      </c>
      <c r="I344" s="49">
        <f t="shared" si="83"/>
        <v>331450.06000000023</v>
      </c>
      <c r="J344" s="49">
        <f t="shared" si="83"/>
        <v>837546.12000000023</v>
      </c>
      <c r="K344" s="49">
        <f t="shared" si="83"/>
        <v>885156.23999999987</v>
      </c>
      <c r="L344" s="49">
        <f t="shared" si="83"/>
        <v>441938.51000000013</v>
      </c>
      <c r="M344" s="49">
        <f t="shared" si="83"/>
        <v>275743.20000000036</v>
      </c>
      <c r="N344" s="49">
        <f t="shared" si="83"/>
        <v>599963.34</v>
      </c>
      <c r="O344" s="49">
        <f t="shared" si="83"/>
        <v>1690469.1499999997</v>
      </c>
      <c r="P344" s="49">
        <f t="shared" si="83"/>
        <v>105083.56000000004</v>
      </c>
      <c r="Q344" s="50">
        <f t="shared" si="83"/>
        <v>6762514.5200000005</v>
      </c>
      <c r="R344" s="49">
        <f>R341+R343-R293</f>
        <v>675361.42999999982</v>
      </c>
      <c r="S344" s="49"/>
      <c r="T344" s="49"/>
      <c r="U344" s="49"/>
      <c r="V344" s="49"/>
      <c r="W344" s="89">
        <f>W341+W343-W293</f>
        <v>13062219.629999995</v>
      </c>
      <c r="X344" s="51">
        <f>W343+X341</f>
        <v>238683824.14999992</v>
      </c>
    </row>
    <row r="345" spans="1:29" ht="12.75" x14ac:dyDescent="0.2">
      <c r="A345" s="92"/>
      <c r="B345" s="90"/>
      <c r="C345" s="90"/>
      <c r="D345" s="90"/>
      <c r="E345" s="90"/>
      <c r="F345" s="90"/>
      <c r="G345" s="90"/>
      <c r="H345" s="90"/>
      <c r="I345" s="90"/>
      <c r="J345" s="90"/>
      <c r="K345" s="90"/>
      <c r="L345" s="90"/>
      <c r="M345" s="90"/>
      <c r="N345" s="90"/>
      <c r="O345" s="90"/>
      <c r="P345" s="90"/>
      <c r="Q345" s="90"/>
      <c r="R345" s="52"/>
      <c r="S345" s="52"/>
      <c r="T345" s="52"/>
      <c r="U345" s="52"/>
      <c r="V345" s="52"/>
      <c r="W345" s="90"/>
      <c r="X345" s="91"/>
    </row>
    <row r="346" spans="1:29" ht="12.75" x14ac:dyDescent="0.2">
      <c r="A346" s="19" t="s">
        <v>76</v>
      </c>
      <c r="B346" s="137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W346" s="2"/>
      <c r="X346" s="9"/>
    </row>
    <row r="347" spans="1:29" ht="12.75" x14ac:dyDescent="0.2">
      <c r="A347" s="19" t="s">
        <v>77</v>
      </c>
      <c r="B347" s="137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W347" s="2"/>
      <c r="X347" s="9"/>
    </row>
    <row r="348" spans="1:29" x14ac:dyDescent="0.2">
      <c r="B348" s="2"/>
      <c r="C348" s="2"/>
      <c r="E348" s="2"/>
      <c r="F348" s="2"/>
      <c r="G348" s="2"/>
      <c r="H348" s="2"/>
      <c r="I348" s="2"/>
      <c r="J348" s="2"/>
      <c r="K348" s="4"/>
      <c r="L348" s="5"/>
      <c r="M348" s="2"/>
      <c r="N348" s="2"/>
      <c r="O348" s="2"/>
      <c r="P348" s="2"/>
      <c r="Q348" s="2"/>
      <c r="W348" s="2"/>
      <c r="X348" s="9"/>
    </row>
    <row r="349" spans="1:29" x14ac:dyDescent="0.2"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W349" s="2"/>
      <c r="X349" s="9"/>
    </row>
    <row r="350" spans="1:29" x14ac:dyDescent="0.2">
      <c r="B350" s="2"/>
      <c r="C350" s="2"/>
      <c r="D350" s="2"/>
      <c r="E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W350" s="2"/>
      <c r="X350" s="9"/>
    </row>
    <row r="351" spans="1:29" x14ac:dyDescent="0.2"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W351" s="2"/>
      <c r="X351" s="9"/>
    </row>
    <row r="352" spans="1:29" ht="27" x14ac:dyDescent="0.35">
      <c r="A352" s="133" t="s">
        <v>78</v>
      </c>
      <c r="B352" s="54"/>
      <c r="C352" s="122"/>
      <c r="D352" s="58"/>
      <c r="E352" s="127"/>
      <c r="F352" s="128"/>
      <c r="G352" s="127"/>
      <c r="H352" s="129"/>
      <c r="I352" s="130"/>
      <c r="J352" s="130"/>
      <c r="K352" s="130"/>
      <c r="L352" s="130"/>
      <c r="M352" s="130"/>
      <c r="N352" s="130"/>
      <c r="O352" s="130"/>
      <c r="P352" s="130"/>
      <c r="Q352" s="130"/>
      <c r="R352" s="128"/>
      <c r="S352" s="128"/>
      <c r="T352" s="128"/>
      <c r="U352" s="128"/>
      <c r="V352" s="128"/>
      <c r="W352" s="130"/>
      <c r="X352" s="131"/>
    </row>
    <row r="353" spans="1:28" ht="15.75" x14ac:dyDescent="0.25">
      <c r="A353" s="136"/>
      <c r="B353" s="170"/>
      <c r="C353" s="54"/>
      <c r="D353" s="53"/>
      <c r="E353" s="53"/>
      <c r="F353" s="132"/>
      <c r="G353" s="55"/>
      <c r="H353" s="55"/>
      <c r="I353" s="55"/>
      <c r="J353" s="54"/>
      <c r="K353" s="56"/>
      <c r="L353" s="57"/>
      <c r="M353" s="54"/>
      <c r="N353" s="54" t="s">
        <v>60</v>
      </c>
      <c r="O353" s="54"/>
      <c r="P353" s="54"/>
      <c r="Q353" s="57"/>
      <c r="R353" s="58"/>
      <c r="S353" s="58"/>
      <c r="T353" s="58"/>
      <c r="U353" s="58"/>
      <c r="V353" s="58"/>
      <c r="W353" s="54"/>
      <c r="X353" s="54"/>
    </row>
    <row r="354" spans="1:28" ht="27" x14ac:dyDescent="0.35">
      <c r="A354" s="134" t="s">
        <v>6</v>
      </c>
      <c r="B354" s="122"/>
      <c r="C354" s="122"/>
      <c r="D354" s="122"/>
      <c r="E354" s="122"/>
      <c r="F354" s="122"/>
      <c r="G354" s="122"/>
      <c r="H354" s="122"/>
      <c r="I354" s="122"/>
      <c r="J354" s="122"/>
      <c r="K354" s="122"/>
      <c r="L354" s="122"/>
      <c r="M354" s="122"/>
      <c r="N354" s="122"/>
      <c r="O354" s="122"/>
      <c r="P354" s="122"/>
      <c r="Q354" s="122"/>
      <c r="R354" s="122"/>
      <c r="S354" s="122"/>
      <c r="T354" s="122"/>
      <c r="U354" s="122"/>
      <c r="V354" s="122"/>
      <c r="W354" s="142"/>
      <c r="X354" s="122"/>
    </row>
    <row r="355" spans="1:28" ht="12" thickBot="1" x14ac:dyDescent="0.25">
      <c r="B355" s="2"/>
      <c r="C355" s="2"/>
      <c r="D355" s="2"/>
      <c r="E355" s="2"/>
      <c r="F355" s="59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 t="s">
        <v>60</v>
      </c>
      <c r="W355" s="2"/>
      <c r="X355" s="57"/>
    </row>
    <row r="356" spans="1:28" x14ac:dyDescent="0.2">
      <c r="A356" s="14"/>
      <c r="B356" s="15"/>
      <c r="C356" s="15"/>
      <c r="D356" s="15"/>
      <c r="E356" s="15"/>
      <c r="F356" s="15"/>
      <c r="G356" s="15"/>
      <c r="H356" s="15"/>
      <c r="I356" s="15"/>
      <c r="J356" s="15"/>
      <c r="K356" s="15"/>
      <c r="L356" s="15"/>
      <c r="M356" s="15"/>
      <c r="N356" s="15"/>
      <c r="O356" s="15"/>
      <c r="P356" s="15"/>
      <c r="Q356" s="15"/>
      <c r="R356" s="16"/>
      <c r="S356" s="16"/>
      <c r="T356" s="16"/>
      <c r="U356" s="16"/>
      <c r="V356" s="16"/>
      <c r="W356" s="15"/>
      <c r="X356" s="60" t="s">
        <v>60</v>
      </c>
      <c r="Y356" s="9"/>
    </row>
    <row r="357" spans="1:28" ht="13.5" thickBot="1" x14ac:dyDescent="0.25">
      <c r="A357" s="18"/>
      <c r="B357" s="61"/>
      <c r="C357" s="62"/>
      <c r="D357" s="63" t="s">
        <v>73</v>
      </c>
      <c r="E357" s="64"/>
      <c r="F357" s="64"/>
      <c r="G357" s="64"/>
      <c r="H357" s="61"/>
      <c r="I357" s="64"/>
      <c r="J357" s="64"/>
      <c r="K357" s="65" t="s">
        <v>74</v>
      </c>
      <c r="L357" s="64"/>
      <c r="M357" s="64"/>
      <c r="N357" s="64"/>
      <c r="O357" s="64"/>
      <c r="P357" s="64"/>
      <c r="Q357" s="138"/>
      <c r="R357" s="64"/>
      <c r="S357" s="64"/>
      <c r="T357" s="64"/>
      <c r="U357" s="64"/>
      <c r="V357" s="64"/>
      <c r="W357" s="66"/>
      <c r="X357" s="36" t="s">
        <v>60</v>
      </c>
    </row>
    <row r="358" spans="1:28" ht="12" x14ac:dyDescent="0.2">
      <c r="A358" s="67"/>
      <c r="B358" s="68" t="s">
        <v>11</v>
      </c>
      <c r="C358" s="68" t="s">
        <v>12</v>
      </c>
      <c r="D358" s="68" t="s">
        <v>13</v>
      </c>
      <c r="E358" s="68" t="s">
        <v>14</v>
      </c>
      <c r="F358" s="68" t="s">
        <v>15</v>
      </c>
      <c r="G358" s="69" t="s">
        <v>16</v>
      </c>
      <c r="H358" s="68" t="s">
        <v>17</v>
      </c>
      <c r="I358" s="70"/>
      <c r="J358" s="70"/>
      <c r="K358" s="70"/>
      <c r="L358" s="70"/>
      <c r="M358" s="68" t="s">
        <v>18</v>
      </c>
      <c r="N358" s="68" t="s">
        <v>19</v>
      </c>
      <c r="O358" s="68" t="s">
        <v>20</v>
      </c>
      <c r="P358" s="68" t="s">
        <v>21</v>
      </c>
      <c r="Q358" s="69" t="s">
        <v>16</v>
      </c>
      <c r="R358" s="71" t="s">
        <v>69</v>
      </c>
      <c r="S358" s="71"/>
      <c r="T358" s="71"/>
      <c r="U358" s="71"/>
      <c r="V358" s="71"/>
      <c r="W358" s="72" t="s">
        <v>7</v>
      </c>
      <c r="X358" s="73" t="s">
        <v>70</v>
      </c>
    </row>
    <row r="359" spans="1:28" ht="12.75" thickBot="1" x14ac:dyDescent="0.25">
      <c r="A359" s="75"/>
      <c r="B359" s="76" t="s">
        <v>23</v>
      </c>
      <c r="C359" s="76" t="s">
        <v>24</v>
      </c>
      <c r="D359" s="76" t="s">
        <v>25</v>
      </c>
      <c r="E359" s="76" t="s">
        <v>26</v>
      </c>
      <c r="F359" s="76" t="s">
        <v>27</v>
      </c>
      <c r="G359" s="77" t="s">
        <v>28</v>
      </c>
      <c r="H359" s="76" t="s">
        <v>29</v>
      </c>
      <c r="I359" s="76" t="s">
        <v>30</v>
      </c>
      <c r="J359" s="76" t="s">
        <v>31</v>
      </c>
      <c r="K359" s="76" t="s">
        <v>32</v>
      </c>
      <c r="L359" s="76" t="s">
        <v>33</v>
      </c>
      <c r="M359" s="76" t="s">
        <v>34</v>
      </c>
      <c r="N359" s="76" t="s">
        <v>35</v>
      </c>
      <c r="O359" s="76" t="s">
        <v>36</v>
      </c>
      <c r="P359" s="76" t="s">
        <v>37</v>
      </c>
      <c r="Q359" s="77" t="s">
        <v>28</v>
      </c>
      <c r="R359" s="78" t="s">
        <v>79</v>
      </c>
      <c r="S359" s="78"/>
      <c r="T359" s="78"/>
      <c r="U359" s="78"/>
      <c r="V359" s="78"/>
      <c r="W359" s="79" t="s">
        <v>10</v>
      </c>
      <c r="X359" s="80" t="s">
        <v>71</v>
      </c>
      <c r="Y359" s="9"/>
    </row>
    <row r="360" spans="1:28" x14ac:dyDescent="0.2">
      <c r="A360" s="18"/>
      <c r="B360" s="33"/>
      <c r="C360" s="33"/>
      <c r="D360" s="33"/>
      <c r="E360" s="33"/>
      <c r="F360" s="33"/>
      <c r="G360" s="34"/>
      <c r="H360" s="33"/>
      <c r="I360" s="33"/>
      <c r="J360" s="33"/>
      <c r="K360" s="33"/>
      <c r="L360" s="33"/>
      <c r="M360" s="33"/>
      <c r="N360" s="33"/>
      <c r="O360" s="33"/>
      <c r="P360" s="33"/>
      <c r="Q360" s="34"/>
      <c r="R360" s="35"/>
      <c r="S360" s="35"/>
      <c r="T360" s="35"/>
      <c r="U360" s="35"/>
      <c r="V360" s="35"/>
      <c r="W360" s="81"/>
      <c r="X360" s="36"/>
    </row>
    <row r="361" spans="1:28" ht="12.75" x14ac:dyDescent="0.2">
      <c r="A361" s="82" t="s">
        <v>41</v>
      </c>
      <c r="B361" s="38">
        <v>0</v>
      </c>
      <c r="C361" s="38">
        <v>134776.26</v>
      </c>
      <c r="D361" s="38">
        <v>121474.32</v>
      </c>
      <c r="E361" s="38">
        <v>0</v>
      </c>
      <c r="F361" s="38">
        <v>68266.559999999998</v>
      </c>
      <c r="G361" s="39">
        <f>SUM(B361:F361)</f>
        <v>324517.14</v>
      </c>
      <c r="H361" s="38">
        <v>0</v>
      </c>
      <c r="I361" s="38">
        <v>0</v>
      </c>
      <c r="J361" s="38">
        <v>66472.77</v>
      </c>
      <c r="K361" s="38">
        <v>64683.08</v>
      </c>
      <c r="L361" s="38">
        <v>0</v>
      </c>
      <c r="M361" s="38">
        <v>0</v>
      </c>
      <c r="N361" s="38">
        <v>57533.93</v>
      </c>
      <c r="O361" s="38">
        <v>121372.48</v>
      </c>
      <c r="P361" s="38">
        <v>0</v>
      </c>
      <c r="Q361" s="39">
        <f>SUM(H361:P361)</f>
        <v>310062.26</v>
      </c>
      <c r="R361" s="40">
        <v>0</v>
      </c>
      <c r="S361" s="40"/>
      <c r="T361" s="40"/>
      <c r="U361" s="40"/>
      <c r="V361" s="40"/>
      <c r="W361" s="83">
        <f>Q361+G361+R361</f>
        <v>634579.4</v>
      </c>
      <c r="X361" s="41"/>
      <c r="Y361" s="9"/>
      <c r="AA361" s="168">
        <f>G361</f>
        <v>324517.14</v>
      </c>
      <c r="AB361" s="169">
        <f>AB343+AA361</f>
        <v>3249442.0500000003</v>
      </c>
    </row>
    <row r="362" spans="1:28" ht="12.75" x14ac:dyDescent="0.2">
      <c r="A362" s="82" t="s">
        <v>42</v>
      </c>
      <c r="B362" s="141">
        <f t="shared" ref="B362:G362" si="84">B344+B361-B310</f>
        <v>74586.070000000007</v>
      </c>
      <c r="C362" s="141">
        <f t="shared" si="84"/>
        <v>1502926.71</v>
      </c>
      <c r="D362" s="141">
        <f t="shared" si="84"/>
        <v>1808871.2900000003</v>
      </c>
      <c r="E362" s="141">
        <f t="shared" si="84"/>
        <v>1129478.4000000001</v>
      </c>
      <c r="F362" s="141">
        <f t="shared" si="84"/>
        <v>1164745.9799999991</v>
      </c>
      <c r="G362" s="39">
        <f t="shared" si="84"/>
        <v>5680608.4499999993</v>
      </c>
      <c r="H362" s="84">
        <f t="shared" ref="H362:Q362" si="85">H344+H361-H310</f>
        <v>1193320.77</v>
      </c>
      <c r="I362" s="84">
        <f t="shared" si="85"/>
        <v>331450.06000000023</v>
      </c>
      <c r="J362" s="84">
        <f t="shared" si="85"/>
        <v>841436.89000000025</v>
      </c>
      <c r="K362" s="84">
        <f t="shared" si="85"/>
        <v>887575.79999999981</v>
      </c>
      <c r="L362" s="84">
        <f t="shared" si="85"/>
        <v>441938.51000000013</v>
      </c>
      <c r="M362" s="84">
        <f t="shared" si="85"/>
        <v>275743.20000000036</v>
      </c>
      <c r="N362" s="84">
        <f t="shared" si="85"/>
        <v>626229.31000000006</v>
      </c>
      <c r="O362" s="84">
        <f t="shared" si="85"/>
        <v>1691142.6499999997</v>
      </c>
      <c r="P362" s="84">
        <f t="shared" si="85"/>
        <v>105083.56000000004</v>
      </c>
      <c r="Q362" s="39">
        <f t="shared" si="85"/>
        <v>6739865.6600000001</v>
      </c>
      <c r="R362" s="84">
        <f>R344+R361-R310</f>
        <v>675361.42999999982</v>
      </c>
      <c r="S362" s="84"/>
      <c r="T362" s="84"/>
      <c r="U362" s="84"/>
      <c r="V362" s="84"/>
      <c r="W362" s="140">
        <f>W344+W361-W310</f>
        <v>13095835.539999995</v>
      </c>
      <c r="X362" s="41">
        <f>W361+X344</f>
        <v>239318403.54999992</v>
      </c>
      <c r="Y362" s="9"/>
      <c r="AA362" s="9"/>
    </row>
    <row r="363" spans="1:28" ht="12.75" x14ac:dyDescent="0.2">
      <c r="A363" s="85"/>
      <c r="B363" s="38"/>
      <c r="C363" s="38"/>
      <c r="D363" s="38"/>
      <c r="E363" s="38"/>
      <c r="F363" s="38"/>
      <c r="G363" s="39"/>
      <c r="H363" s="38"/>
      <c r="I363" s="38"/>
      <c r="J363" s="38"/>
      <c r="K363" s="38"/>
      <c r="L363" s="38"/>
      <c r="M363" s="38"/>
      <c r="N363" s="38"/>
      <c r="O363" s="38"/>
      <c r="P363" s="38"/>
      <c r="Q363" s="39" t="s">
        <v>60</v>
      </c>
      <c r="R363" s="43"/>
      <c r="S363" s="43"/>
      <c r="T363" s="43"/>
      <c r="U363" s="43"/>
      <c r="V363" s="43"/>
      <c r="W363" s="83"/>
      <c r="X363" s="41"/>
      <c r="AA363" s="9"/>
    </row>
    <row r="364" spans="1:28" ht="12.75" x14ac:dyDescent="0.2">
      <c r="A364" s="82" t="s">
        <v>43</v>
      </c>
      <c r="B364" s="38">
        <v>0</v>
      </c>
      <c r="C364" s="38">
        <v>116454.72</v>
      </c>
      <c r="D364" s="38">
        <v>71780.28</v>
      </c>
      <c r="E364" s="38">
        <v>0</v>
      </c>
      <c r="F364" s="38">
        <v>34133.279999999999</v>
      </c>
      <c r="G364" s="39">
        <f>SUM(B364:F364)</f>
        <v>222368.28</v>
      </c>
      <c r="H364" s="38">
        <v>16335.65</v>
      </c>
      <c r="I364" s="38">
        <v>0</v>
      </c>
      <c r="J364" s="38">
        <v>44459.67</v>
      </c>
      <c r="K364" s="38">
        <v>44316.59</v>
      </c>
      <c r="L364" s="38">
        <v>0</v>
      </c>
      <c r="M364" s="38">
        <v>1343.34</v>
      </c>
      <c r="N364" s="38">
        <v>34701.54</v>
      </c>
      <c r="O364" s="38">
        <v>70021.34</v>
      </c>
      <c r="P364" s="38">
        <v>0</v>
      </c>
      <c r="Q364" s="39">
        <f>SUM(H364:P364)</f>
        <v>211178.13</v>
      </c>
      <c r="R364" s="40">
        <v>0</v>
      </c>
      <c r="S364" s="40"/>
      <c r="T364" s="40"/>
      <c r="U364" s="40"/>
      <c r="V364" s="40"/>
      <c r="W364" s="83">
        <f>Q364+G364+R364</f>
        <v>433546.41000000003</v>
      </c>
      <c r="X364" s="41"/>
      <c r="AA364" s="168">
        <f>G364</f>
        <v>222368.28</v>
      </c>
      <c r="AB364" s="169">
        <f>AB361+AA364</f>
        <v>3471810.33</v>
      </c>
    </row>
    <row r="365" spans="1:28" ht="12.75" x14ac:dyDescent="0.2">
      <c r="A365" s="82" t="s">
        <v>42</v>
      </c>
      <c r="B365" s="141">
        <f t="shared" ref="B365:G365" si="86">B362+B364-B313</f>
        <v>54014.040000000008</v>
      </c>
      <c r="C365" s="141">
        <f t="shared" si="86"/>
        <v>1521960.99</v>
      </c>
      <c r="D365" s="141">
        <f t="shared" si="86"/>
        <v>1762955.8100000003</v>
      </c>
      <c r="E365" s="141">
        <f t="shared" si="86"/>
        <v>1129478.4000000001</v>
      </c>
      <c r="F365" s="141">
        <f t="shared" si="86"/>
        <v>1196901.179999999</v>
      </c>
      <c r="G365" s="39">
        <f t="shared" si="86"/>
        <v>5665310.4199999999</v>
      </c>
      <c r="H365" s="141">
        <f t="shared" ref="H365:P365" si="87">H362+H364-H313</f>
        <v>1060379.6299999999</v>
      </c>
      <c r="I365" s="141">
        <f t="shared" si="87"/>
        <v>331450.06000000023</v>
      </c>
      <c r="J365" s="141">
        <f t="shared" si="87"/>
        <v>828494.34000000032</v>
      </c>
      <c r="K365" s="141">
        <f t="shared" si="87"/>
        <v>875105.50999999978</v>
      </c>
      <c r="L365" s="141">
        <f t="shared" si="87"/>
        <v>441938.51000000013</v>
      </c>
      <c r="M365" s="141">
        <f t="shared" si="87"/>
        <v>273536.95000000036</v>
      </c>
      <c r="N365" s="141">
        <f t="shared" si="87"/>
        <v>660930.85000000009</v>
      </c>
      <c r="O365" s="141">
        <f t="shared" si="87"/>
        <v>1658602.0299999998</v>
      </c>
      <c r="P365" s="141">
        <f t="shared" si="87"/>
        <v>105083.56000000004</v>
      </c>
      <c r="Q365" s="39">
        <f>Q362+Q364-Q313</f>
        <v>6581466.3499999996</v>
      </c>
      <c r="R365" s="38">
        <f>R362+R364-R313</f>
        <v>675361.42999999982</v>
      </c>
      <c r="S365" s="38"/>
      <c r="T365" s="38"/>
      <c r="U365" s="38"/>
      <c r="V365" s="38"/>
      <c r="W365" s="140">
        <f>W362+W364-W313</f>
        <v>12922138.199999996</v>
      </c>
      <c r="X365" s="41">
        <f>W364+X362</f>
        <v>239751949.95999992</v>
      </c>
      <c r="Y365" s="9"/>
      <c r="AA365" s="9"/>
    </row>
    <row r="366" spans="1:28" ht="12.75" x14ac:dyDescent="0.2">
      <c r="A366" s="85"/>
      <c r="B366" s="44"/>
      <c r="C366" s="44"/>
      <c r="D366" s="44"/>
      <c r="E366" s="44"/>
      <c r="F366" s="44"/>
      <c r="G366" s="45"/>
      <c r="H366" s="44"/>
      <c r="I366" s="44"/>
      <c r="J366" s="44"/>
      <c r="K366" s="44"/>
      <c r="L366" s="44"/>
      <c r="M366" s="44"/>
      <c r="N366" s="44"/>
      <c r="O366" s="44"/>
      <c r="P366" s="44"/>
      <c r="Q366" s="45"/>
      <c r="R366" s="43"/>
      <c r="S366" s="43"/>
      <c r="T366" s="43"/>
      <c r="U366" s="43"/>
      <c r="V366" s="43"/>
      <c r="W366" s="86"/>
      <c r="X366" s="46"/>
    </row>
    <row r="367" spans="1:28" ht="12.75" x14ac:dyDescent="0.2">
      <c r="A367" s="82" t="s">
        <v>44</v>
      </c>
      <c r="B367" s="38">
        <v>0</v>
      </c>
      <c r="C367" s="38">
        <v>144815.46</v>
      </c>
      <c r="D367" s="38">
        <v>0</v>
      </c>
      <c r="E367" s="38">
        <v>0</v>
      </c>
      <c r="F367" s="38">
        <v>65254.8</v>
      </c>
      <c r="G367" s="39">
        <f>SUM(B367:F367)</f>
        <v>210070.26</v>
      </c>
      <c r="H367" s="38">
        <v>0</v>
      </c>
      <c r="I367" s="38">
        <v>0</v>
      </c>
      <c r="J367" s="38">
        <v>70831.570000000007</v>
      </c>
      <c r="K367" s="38">
        <v>69875.399999999994</v>
      </c>
      <c r="L367" s="38">
        <v>11483.14</v>
      </c>
      <c r="M367" s="38">
        <v>0</v>
      </c>
      <c r="N367" s="38">
        <v>61053.31</v>
      </c>
      <c r="O367" s="38">
        <v>71008.62</v>
      </c>
      <c r="P367" s="38">
        <v>0</v>
      </c>
      <c r="Q367" s="39">
        <f>SUM(H367:P367)</f>
        <v>284252.03999999998</v>
      </c>
      <c r="R367" s="40">
        <v>0</v>
      </c>
      <c r="S367" s="40"/>
      <c r="T367" s="40"/>
      <c r="U367" s="40"/>
      <c r="V367" s="40"/>
      <c r="W367" s="83">
        <f>Q367+G367+R367</f>
        <v>494322.3</v>
      </c>
      <c r="X367" s="41"/>
      <c r="AA367" s="168">
        <f>G367</f>
        <v>210070.26</v>
      </c>
      <c r="AB367" s="169">
        <f>+AB364+AA367</f>
        <v>3681880.59</v>
      </c>
    </row>
    <row r="368" spans="1:28" ht="12.75" x14ac:dyDescent="0.2">
      <c r="A368" s="82" t="s">
        <v>42</v>
      </c>
      <c r="B368" s="141">
        <f t="shared" ref="B368:G368" si="88">B365+B367-B316</f>
        <v>54014.040000000008</v>
      </c>
      <c r="C368" s="141">
        <f t="shared" si="88"/>
        <v>1563669.03</v>
      </c>
      <c r="D368" s="141">
        <f t="shared" si="88"/>
        <v>1634875.1300000004</v>
      </c>
      <c r="E368" s="141">
        <f t="shared" si="88"/>
        <v>1129478.4000000001</v>
      </c>
      <c r="F368" s="141">
        <f t="shared" si="88"/>
        <v>1139515.0199999991</v>
      </c>
      <c r="G368" s="39">
        <f t="shared" si="88"/>
        <v>5521551.6200000001</v>
      </c>
      <c r="H368" s="141">
        <f t="shared" ref="H368:P368" si="89">H365+H367-H316</f>
        <v>986656.46999999986</v>
      </c>
      <c r="I368" s="141">
        <f t="shared" si="89"/>
        <v>331027.96000000025</v>
      </c>
      <c r="J368" s="141">
        <f t="shared" si="89"/>
        <v>852454.67000000039</v>
      </c>
      <c r="K368" s="141">
        <f t="shared" si="89"/>
        <v>877364.83999999985</v>
      </c>
      <c r="L368" s="141">
        <f t="shared" si="89"/>
        <v>453421.65000000014</v>
      </c>
      <c r="M368" s="141">
        <f t="shared" si="89"/>
        <v>254310.78000000038</v>
      </c>
      <c r="N368" s="141">
        <f t="shared" si="89"/>
        <v>688234.87000000011</v>
      </c>
      <c r="O368" s="141">
        <f t="shared" si="89"/>
        <v>1599680.88</v>
      </c>
      <c r="P368" s="141">
        <f t="shared" si="89"/>
        <v>105083.56000000004</v>
      </c>
      <c r="Q368" s="39">
        <f>Q365+Q367-Q316</f>
        <v>6494180.5899999999</v>
      </c>
      <c r="R368" s="38">
        <f>R365+R367-R316</f>
        <v>675361.42999999982</v>
      </c>
      <c r="S368" s="38"/>
      <c r="T368" s="38"/>
      <c r="U368" s="38"/>
      <c r="V368" s="38"/>
      <c r="W368" s="140">
        <f>W365+W367-W316</f>
        <v>12691093.639999997</v>
      </c>
      <c r="X368" s="41">
        <f>W367+X365</f>
        <v>240246272.25999993</v>
      </c>
      <c r="Y368" s="9"/>
      <c r="AA368" s="9"/>
    </row>
    <row r="369" spans="1:29" ht="12.75" x14ac:dyDescent="0.2">
      <c r="A369" s="85"/>
      <c r="B369" s="43"/>
      <c r="C369" s="43"/>
      <c r="D369" s="43"/>
      <c r="E369" s="43"/>
      <c r="F369" s="43"/>
      <c r="G369" s="47"/>
      <c r="H369" s="43"/>
      <c r="I369" s="43"/>
      <c r="J369" s="43"/>
      <c r="K369" s="43"/>
      <c r="L369" s="43"/>
      <c r="M369" s="43"/>
      <c r="N369" s="43"/>
      <c r="O369" s="43"/>
      <c r="P369" s="43"/>
      <c r="Q369" s="47"/>
      <c r="R369" s="43"/>
      <c r="S369" s="43"/>
      <c r="T369" s="43"/>
      <c r="U369" s="43"/>
      <c r="V369" s="43"/>
      <c r="W369" s="87"/>
      <c r="X369" s="46"/>
      <c r="AA369" s="9"/>
    </row>
    <row r="370" spans="1:29" ht="12.75" x14ac:dyDescent="0.2">
      <c r="A370" s="82" t="s">
        <v>45</v>
      </c>
      <c r="B370" s="38">
        <v>10039.200000000001</v>
      </c>
      <c r="C370" s="38">
        <v>112941</v>
      </c>
      <c r="D370" s="38">
        <v>133019.4</v>
      </c>
      <c r="E370" s="38">
        <v>76423.41</v>
      </c>
      <c r="F370" s="38">
        <v>77803.8</v>
      </c>
      <c r="G370" s="39">
        <f>SUM(B370:F370)</f>
        <v>410226.81</v>
      </c>
      <c r="H370" s="38">
        <v>47628.63</v>
      </c>
      <c r="I370" s="38">
        <v>0</v>
      </c>
      <c r="J370" s="38">
        <v>52722.91</v>
      </c>
      <c r="K370" s="38">
        <v>56597.54</v>
      </c>
      <c r="L370" s="38">
        <v>1159.1600000000001</v>
      </c>
      <c r="M370" s="38">
        <v>0</v>
      </c>
      <c r="N370" s="38">
        <v>35512.550000000003</v>
      </c>
      <c r="O370" s="38">
        <v>41682.400000000001</v>
      </c>
      <c r="P370" s="38">
        <v>0</v>
      </c>
      <c r="Q370" s="39">
        <f>SUM(H370:P370)</f>
        <v>235303.19000000003</v>
      </c>
      <c r="R370" s="165">
        <v>50141.13</v>
      </c>
      <c r="S370" s="165"/>
      <c r="T370" s="165"/>
      <c r="U370" s="165"/>
      <c r="V370" s="165"/>
      <c r="W370" s="83">
        <f>Q370+G370+R370</f>
        <v>695671.13</v>
      </c>
      <c r="X370" s="41"/>
      <c r="AA370" s="168">
        <f>G370</f>
        <v>410226.81</v>
      </c>
      <c r="AB370" s="169">
        <f>+AB367+AA370</f>
        <v>4092107.4</v>
      </c>
    </row>
    <row r="371" spans="1:29" ht="12.75" x14ac:dyDescent="0.2">
      <c r="A371" s="82" t="s">
        <v>42</v>
      </c>
      <c r="B371" s="141">
        <f t="shared" ref="B371:G371" si="90">B368+B370-B319</f>
        <v>59305.850000000006</v>
      </c>
      <c r="C371" s="141">
        <f t="shared" si="90"/>
        <v>1551990.99</v>
      </c>
      <c r="D371" s="141">
        <f t="shared" si="90"/>
        <v>1623000.1700000004</v>
      </c>
      <c r="E371" s="141">
        <f t="shared" si="90"/>
        <v>1061996.49</v>
      </c>
      <c r="F371" s="141">
        <f t="shared" si="90"/>
        <v>1107782.6399999992</v>
      </c>
      <c r="G371" s="39">
        <f t="shared" si="90"/>
        <v>5404076.1399999997</v>
      </c>
      <c r="H371" s="141">
        <f t="shared" ref="H371:P371" si="91">H368+H370-H319</f>
        <v>877174.65999999992</v>
      </c>
      <c r="I371" s="141">
        <f t="shared" si="91"/>
        <v>327116.82000000024</v>
      </c>
      <c r="J371" s="141">
        <f t="shared" si="91"/>
        <v>846215.57000000041</v>
      </c>
      <c r="K371" s="141">
        <f t="shared" si="91"/>
        <v>868650.60999999987</v>
      </c>
      <c r="L371" s="141">
        <f t="shared" si="91"/>
        <v>454580.81000000011</v>
      </c>
      <c r="M371" s="141">
        <f t="shared" si="91"/>
        <v>217749.73000000039</v>
      </c>
      <c r="N371" s="141">
        <f t="shared" si="91"/>
        <v>671457.83000000019</v>
      </c>
      <c r="O371" s="141">
        <f t="shared" si="91"/>
        <v>1518625.2199999997</v>
      </c>
      <c r="P371" s="141">
        <f t="shared" si="91"/>
        <v>81553.350000000035</v>
      </c>
      <c r="Q371" s="39">
        <f>Q368+Q370-Q319</f>
        <v>6209069.5099999998</v>
      </c>
      <c r="R371" s="38">
        <f>R368+R370-R319</f>
        <v>645312.22999999986</v>
      </c>
      <c r="S371" s="38"/>
      <c r="T371" s="38"/>
      <c r="U371" s="38"/>
      <c r="V371" s="38"/>
      <c r="W371" s="140">
        <f>W368+W370-W319</f>
        <v>12258457.879999997</v>
      </c>
      <c r="X371" s="41">
        <f>W370+X368</f>
        <v>240941943.38999993</v>
      </c>
      <c r="Y371" s="9"/>
    </row>
    <row r="372" spans="1:29" ht="12.75" x14ac:dyDescent="0.2">
      <c r="A372" s="85"/>
      <c r="B372" s="44"/>
      <c r="C372" s="44"/>
      <c r="D372" s="44"/>
      <c r="E372" s="44"/>
      <c r="F372" s="44"/>
      <c r="G372" s="45"/>
      <c r="H372" s="44"/>
      <c r="I372" s="44"/>
      <c r="J372" s="44"/>
      <c r="K372" s="44"/>
      <c r="L372" s="44"/>
      <c r="M372" s="44"/>
      <c r="N372" s="44"/>
      <c r="O372" s="44"/>
      <c r="P372" s="44"/>
      <c r="Q372" s="45"/>
      <c r="R372" s="43"/>
      <c r="S372" s="43"/>
      <c r="T372" s="43"/>
      <c r="U372" s="43"/>
      <c r="V372" s="43"/>
      <c r="W372" s="86"/>
      <c r="X372" s="46"/>
    </row>
    <row r="373" spans="1:29" ht="12.75" x14ac:dyDescent="0.2">
      <c r="A373" s="82" t="s">
        <v>46</v>
      </c>
      <c r="B373" s="38">
        <v>4618.03</v>
      </c>
      <c r="C373" s="38">
        <v>59482.26</v>
      </c>
      <c r="D373" s="38">
        <v>87341.04</v>
      </c>
      <c r="E373" s="38">
        <v>90729.27</v>
      </c>
      <c r="F373" s="38">
        <v>68768.52</v>
      </c>
      <c r="G373" s="39">
        <f>SUM(B373:F373)</f>
        <v>310939.12</v>
      </c>
      <c r="H373" s="38">
        <v>19209.310000000001</v>
      </c>
      <c r="I373" s="38">
        <v>0</v>
      </c>
      <c r="J373" s="38">
        <v>30391.42</v>
      </c>
      <c r="K373" s="38">
        <v>32202.91</v>
      </c>
      <c r="L373" s="38">
        <v>47210.1</v>
      </c>
      <c r="M373" s="38">
        <v>0</v>
      </c>
      <c r="N373" s="38">
        <v>15081.43</v>
      </c>
      <c r="O373" s="38">
        <v>74122.210000000006</v>
      </c>
      <c r="P373" s="38">
        <v>0</v>
      </c>
      <c r="Q373" s="39">
        <f>SUM(H373:P373)</f>
        <v>218217.38</v>
      </c>
      <c r="R373" s="165">
        <v>60279.39</v>
      </c>
      <c r="S373" s="165"/>
      <c r="T373" s="165"/>
      <c r="U373" s="165"/>
      <c r="V373" s="165"/>
      <c r="W373" s="83">
        <f>Q373+G373+R373</f>
        <v>589435.89</v>
      </c>
      <c r="X373" s="41"/>
      <c r="AA373" s="168">
        <f>G373</f>
        <v>310939.12</v>
      </c>
      <c r="AB373" s="169">
        <f>+AB370+AA373</f>
        <v>4403046.5199999996</v>
      </c>
    </row>
    <row r="374" spans="1:29" ht="12.75" x14ac:dyDescent="0.2">
      <c r="A374" s="82" t="s">
        <v>42</v>
      </c>
      <c r="B374" s="141">
        <f t="shared" ref="B374:G374" si="92">B371+B373-B322</f>
        <v>40384.730000000003</v>
      </c>
      <c r="C374" s="141">
        <f t="shared" si="92"/>
        <v>1473502.17</v>
      </c>
      <c r="D374" s="141">
        <f t="shared" si="92"/>
        <v>1456157.9300000004</v>
      </c>
      <c r="E374" s="141">
        <f t="shared" si="92"/>
        <v>1032557.4</v>
      </c>
      <c r="F374" s="141">
        <f t="shared" si="92"/>
        <v>1053415.6799999992</v>
      </c>
      <c r="G374" s="39">
        <f t="shared" si="92"/>
        <v>5056017.91</v>
      </c>
      <c r="H374" s="141">
        <f t="shared" ref="H374:P374" si="93">H371+H373-H322</f>
        <v>703158.13</v>
      </c>
      <c r="I374" s="141">
        <f t="shared" si="93"/>
        <v>208919.84000000026</v>
      </c>
      <c r="J374" s="141">
        <f t="shared" si="93"/>
        <v>812898.98000000045</v>
      </c>
      <c r="K374" s="141">
        <f t="shared" si="93"/>
        <v>843227.3899999999</v>
      </c>
      <c r="L374" s="141">
        <f t="shared" si="93"/>
        <v>431104.02000000008</v>
      </c>
      <c r="M374" s="141">
        <f t="shared" si="93"/>
        <v>187637.58000000039</v>
      </c>
      <c r="N374" s="141">
        <f t="shared" si="93"/>
        <v>682696.52000000025</v>
      </c>
      <c r="O374" s="141">
        <f t="shared" si="93"/>
        <v>1464971.3599999996</v>
      </c>
      <c r="P374" s="141">
        <f t="shared" si="93"/>
        <v>7918.6300000000338</v>
      </c>
      <c r="Q374" s="39">
        <f>Q371+Q373-Q322</f>
        <v>5688477.3599999994</v>
      </c>
      <c r="R374" s="38">
        <f>R371+R373-R322</f>
        <v>619811.67999999993</v>
      </c>
      <c r="S374" s="38"/>
      <c r="T374" s="38"/>
      <c r="U374" s="38"/>
      <c r="V374" s="38"/>
      <c r="W374" s="140">
        <f>W371+W373-W322</f>
        <v>11364306.949999997</v>
      </c>
      <c r="X374" s="41">
        <f>W373+X371</f>
        <v>241531379.27999991</v>
      </c>
      <c r="Y374" s="9"/>
      <c r="AA374" s="9"/>
    </row>
    <row r="375" spans="1:29" ht="12.75" x14ac:dyDescent="0.2">
      <c r="A375" s="85"/>
      <c r="B375" s="44"/>
      <c r="C375" s="44"/>
      <c r="D375" s="44"/>
      <c r="E375" s="44"/>
      <c r="F375" s="44"/>
      <c r="G375" s="45"/>
      <c r="H375" s="44"/>
      <c r="I375" s="44"/>
      <c r="J375" s="44"/>
      <c r="K375" s="44"/>
      <c r="L375" s="44"/>
      <c r="M375" s="44"/>
      <c r="N375" s="44"/>
      <c r="O375" s="44"/>
      <c r="P375" s="44"/>
      <c r="Q375" s="45"/>
      <c r="R375" s="43"/>
      <c r="S375" s="43"/>
      <c r="T375" s="43"/>
      <c r="U375" s="43"/>
      <c r="V375" s="43"/>
      <c r="W375" s="86"/>
      <c r="X375" s="46"/>
      <c r="AA375" s="9"/>
    </row>
    <row r="376" spans="1:29" ht="12.75" x14ac:dyDescent="0.2">
      <c r="A376" s="82" t="s">
        <v>47</v>
      </c>
      <c r="B376" s="38">
        <v>0</v>
      </c>
      <c r="C376" s="38">
        <v>136828.74</v>
      </c>
      <c r="D376" s="38">
        <v>114389.92</v>
      </c>
      <c r="E376" s="38">
        <v>90799.07</v>
      </c>
      <c r="F376" s="38">
        <v>97973.18</v>
      </c>
      <c r="G376" s="39">
        <f>SUM(B376:F376)</f>
        <v>439990.91</v>
      </c>
      <c r="H376" s="38">
        <v>0</v>
      </c>
      <c r="I376" s="38">
        <v>0</v>
      </c>
      <c r="J376" s="38">
        <v>112764.91</v>
      </c>
      <c r="K376" s="38">
        <v>114641.35</v>
      </c>
      <c r="L376" s="38">
        <v>69326.92</v>
      </c>
      <c r="M376" s="38">
        <v>9353.81</v>
      </c>
      <c r="N376" s="38">
        <v>87155.66</v>
      </c>
      <c r="O376" s="38">
        <v>185922.01</v>
      </c>
      <c r="P376" s="38">
        <v>0</v>
      </c>
      <c r="Q376" s="39">
        <f>SUM(H376:P376)</f>
        <v>579164.66</v>
      </c>
      <c r="R376" s="165">
        <v>47777.33</v>
      </c>
      <c r="S376" s="165"/>
      <c r="T376" s="165"/>
      <c r="U376" s="165"/>
      <c r="V376" s="165"/>
      <c r="W376" s="83">
        <f>Q376+G376+R376</f>
        <v>1066932.9000000001</v>
      </c>
      <c r="X376" s="41"/>
      <c r="AA376" s="168">
        <f>G376</f>
        <v>439990.91</v>
      </c>
      <c r="AB376" s="169">
        <f>+AB373+AA376</f>
        <v>4843037.43</v>
      </c>
      <c r="AC376" s="1">
        <f>4843037.43</f>
        <v>4843037.43</v>
      </c>
    </row>
    <row r="377" spans="1:29" ht="12.75" x14ac:dyDescent="0.2">
      <c r="A377" s="82" t="s">
        <v>42</v>
      </c>
      <c r="B377" s="141">
        <f t="shared" ref="B377:G377" si="94">B374+B376-B325</f>
        <v>17426.540000000005</v>
      </c>
      <c r="C377" s="141">
        <f t="shared" si="94"/>
        <v>1469145.45</v>
      </c>
      <c r="D377" s="141">
        <f t="shared" si="94"/>
        <v>1329716.6100000003</v>
      </c>
      <c r="E377" s="141">
        <f t="shared" si="94"/>
        <v>982670.80999999994</v>
      </c>
      <c r="F377" s="141">
        <f t="shared" si="94"/>
        <v>1044078.0199999992</v>
      </c>
      <c r="G377" s="39">
        <f t="shared" si="94"/>
        <v>4843037.4300000006</v>
      </c>
      <c r="H377" s="141">
        <f t="shared" ref="H377:P377" si="95">H374+H376-H325</f>
        <v>428270.02</v>
      </c>
      <c r="I377" s="141">
        <f t="shared" si="95"/>
        <v>26174.31000000026</v>
      </c>
      <c r="J377" s="141">
        <f t="shared" si="95"/>
        <v>827568.47000000044</v>
      </c>
      <c r="K377" s="141">
        <f t="shared" si="95"/>
        <v>863756.85999999987</v>
      </c>
      <c r="L377" s="141">
        <f t="shared" si="95"/>
        <v>384783.16000000003</v>
      </c>
      <c r="M377" s="141">
        <f t="shared" si="95"/>
        <v>157835.07000000039</v>
      </c>
      <c r="N377" s="141">
        <f t="shared" si="95"/>
        <v>766847.75000000023</v>
      </c>
      <c r="O377" s="141">
        <f t="shared" si="95"/>
        <v>1456331.0499999996</v>
      </c>
      <c r="P377" s="141">
        <f t="shared" si="95"/>
        <v>3.3651303965598345E-11</v>
      </c>
      <c r="Q377" s="39">
        <f>Q374+Q376-Q325</f>
        <v>5257511.5999999996</v>
      </c>
      <c r="R377" s="38">
        <f>R374+R376-R325</f>
        <v>579706.50999999989</v>
      </c>
      <c r="S377" s="38"/>
      <c r="T377" s="38"/>
      <c r="U377" s="38"/>
      <c r="V377" s="38"/>
      <c r="W377" s="140">
        <f>W374+W376-W325</f>
        <v>10680255.539999997</v>
      </c>
      <c r="X377" s="41">
        <f>W376+X374</f>
        <v>242598312.17999992</v>
      </c>
      <c r="Y377" s="9"/>
    </row>
    <row r="378" spans="1:29" ht="12.75" x14ac:dyDescent="0.2">
      <c r="A378" s="85"/>
      <c r="B378" s="43"/>
      <c r="C378" s="43"/>
      <c r="D378" s="43"/>
      <c r="E378" s="43"/>
      <c r="F378" s="43"/>
      <c r="G378" s="47"/>
      <c r="H378" s="43"/>
      <c r="I378" s="43"/>
      <c r="J378" s="43"/>
      <c r="K378" s="43"/>
      <c r="L378" s="43"/>
      <c r="M378" s="43"/>
      <c r="N378" s="43"/>
      <c r="O378" s="43"/>
      <c r="P378" s="43"/>
      <c r="Q378" s="47"/>
      <c r="R378" s="43"/>
      <c r="S378" s="43"/>
      <c r="T378" s="43"/>
      <c r="U378" s="43"/>
      <c r="V378" s="43"/>
      <c r="W378" s="87"/>
      <c r="X378" s="46"/>
    </row>
    <row r="379" spans="1:29" ht="12.75" x14ac:dyDescent="0.2">
      <c r="A379" s="82" t="s">
        <v>48</v>
      </c>
      <c r="B379" s="38">
        <v>0</v>
      </c>
      <c r="C379" s="38">
        <v>137286.06</v>
      </c>
      <c r="D379" s="38">
        <v>166148.76</v>
      </c>
      <c r="E379" s="38">
        <v>100893.96</v>
      </c>
      <c r="F379" s="38">
        <v>124737.06</v>
      </c>
      <c r="G379" s="39">
        <f>SUM(B379:F379)</f>
        <v>529065.84000000008</v>
      </c>
      <c r="H379" s="38">
        <v>108794.57</v>
      </c>
      <c r="I379" s="38">
        <v>56691.62</v>
      </c>
      <c r="J379" s="38">
        <v>100810.65</v>
      </c>
      <c r="K379" s="38">
        <v>104250.96</v>
      </c>
      <c r="L379" s="38">
        <v>59604.71</v>
      </c>
      <c r="M379" s="38">
        <v>53077.4</v>
      </c>
      <c r="N379" s="38">
        <v>103983.58</v>
      </c>
      <c r="O379" s="38">
        <v>212572.08</v>
      </c>
      <c r="P379" s="38">
        <v>0</v>
      </c>
      <c r="Q379" s="39">
        <f>SUM(H379:P379)</f>
        <v>799785.57</v>
      </c>
      <c r="R379" s="165">
        <v>158787.29</v>
      </c>
      <c r="S379" s="165"/>
      <c r="T379" s="165"/>
      <c r="U379" s="165"/>
      <c r="V379" s="165"/>
      <c r="W379" s="83">
        <f>Q379+G379+R379</f>
        <v>1487638.7000000002</v>
      </c>
      <c r="X379" s="41"/>
    </row>
    <row r="380" spans="1:29" ht="12.75" x14ac:dyDescent="0.2">
      <c r="A380" s="82" t="s">
        <v>42</v>
      </c>
      <c r="B380" s="141">
        <f t="shared" ref="B380:G380" si="96">B377+B379-B328</f>
        <v>17426.540000000005</v>
      </c>
      <c r="C380" s="141">
        <f t="shared" si="96"/>
        <v>1464937.92</v>
      </c>
      <c r="D380" s="141">
        <f t="shared" si="96"/>
        <v>1357799.5600000003</v>
      </c>
      <c r="E380" s="141">
        <f t="shared" si="96"/>
        <v>893298.2</v>
      </c>
      <c r="F380" s="141">
        <f t="shared" si="96"/>
        <v>1049754.4399999992</v>
      </c>
      <c r="G380" s="39">
        <f t="shared" si="96"/>
        <v>4783216.66</v>
      </c>
      <c r="H380" s="141">
        <f t="shared" ref="H380:P380" si="97">H377+H379-H328</f>
        <v>452060.93000000005</v>
      </c>
      <c r="I380" s="141">
        <f t="shared" si="97"/>
        <v>81466.910000000251</v>
      </c>
      <c r="J380" s="141">
        <f t="shared" si="97"/>
        <v>824050.31000000052</v>
      </c>
      <c r="K380" s="141">
        <f t="shared" si="97"/>
        <v>864363.45999999985</v>
      </c>
      <c r="L380" s="141">
        <f t="shared" si="97"/>
        <v>266689.21000000008</v>
      </c>
      <c r="M380" s="141">
        <f t="shared" si="97"/>
        <v>189370.85000000038</v>
      </c>
      <c r="N380" s="141">
        <f t="shared" si="97"/>
        <v>784215.9600000002</v>
      </c>
      <c r="O380" s="141">
        <f t="shared" si="97"/>
        <v>1453378.4199999997</v>
      </c>
      <c r="P380" s="141">
        <f t="shared" si="97"/>
        <v>3.3651303965598345E-11</v>
      </c>
      <c r="Q380" s="39">
        <f>Q377+Q379-Q328</f>
        <v>5261540.96</v>
      </c>
      <c r="R380" s="38">
        <f>R377+R379-R328</f>
        <v>548819.91999999993</v>
      </c>
      <c r="S380" s="38"/>
      <c r="T380" s="38"/>
      <c r="U380" s="38"/>
      <c r="V380" s="38"/>
      <c r="W380" s="140">
        <f>W377+W379-W328</f>
        <v>10593577.539999999</v>
      </c>
      <c r="X380" s="41">
        <f>W379+X377</f>
        <v>244085950.87999991</v>
      </c>
      <c r="Y380" s="9"/>
    </row>
    <row r="381" spans="1:29" ht="12.75" x14ac:dyDescent="0.2">
      <c r="A381" s="85"/>
      <c r="B381" s="44"/>
      <c r="C381" s="44"/>
      <c r="D381" s="44"/>
      <c r="E381" s="44"/>
      <c r="F381" s="44"/>
      <c r="G381" s="45"/>
      <c r="H381" s="44"/>
      <c r="I381" s="44"/>
      <c r="J381" s="44"/>
      <c r="K381" s="44"/>
      <c r="L381" s="44"/>
      <c r="M381" s="44"/>
      <c r="N381" s="44"/>
      <c r="O381" s="44"/>
      <c r="P381" s="44"/>
      <c r="Q381" s="45"/>
      <c r="R381" s="43"/>
      <c r="S381" s="43"/>
      <c r="T381" s="43"/>
      <c r="U381" s="43"/>
      <c r="V381" s="43"/>
      <c r="W381" s="86"/>
      <c r="X381" s="46"/>
    </row>
    <row r="382" spans="1:29" ht="12.75" x14ac:dyDescent="0.2">
      <c r="A382" s="82" t="s">
        <v>49</v>
      </c>
      <c r="B382" s="38">
        <v>0</v>
      </c>
      <c r="C382" s="38">
        <v>137788.01999999999</v>
      </c>
      <c r="D382" s="38">
        <v>203293.8</v>
      </c>
      <c r="E382" s="38">
        <v>126493.92</v>
      </c>
      <c r="F382" s="38">
        <v>107168.46</v>
      </c>
      <c r="G382" s="39">
        <f>SUM(B382:F382)</f>
        <v>574744.19999999995</v>
      </c>
      <c r="H382" s="38">
        <v>187478.36</v>
      </c>
      <c r="I382" s="38">
        <v>102927.83</v>
      </c>
      <c r="J382" s="38">
        <v>105087.34</v>
      </c>
      <c r="K382" s="38">
        <v>107718.17</v>
      </c>
      <c r="L382" s="38">
        <v>111324.38</v>
      </c>
      <c r="M382" s="38">
        <v>44075.88</v>
      </c>
      <c r="N382" s="38">
        <v>91001.43</v>
      </c>
      <c r="O382" s="38">
        <v>197462.68</v>
      </c>
      <c r="P382" s="38">
        <v>0</v>
      </c>
      <c r="Q382" s="39">
        <f>SUM(H382:P382)</f>
        <v>947076.07000000007</v>
      </c>
      <c r="R382" s="165">
        <v>117768.71</v>
      </c>
      <c r="S382" s="165"/>
      <c r="T382" s="165"/>
      <c r="U382" s="165"/>
      <c r="V382" s="165"/>
      <c r="W382" s="83">
        <f>Q382+G382+R382</f>
        <v>1639588.98</v>
      </c>
      <c r="X382" s="41"/>
    </row>
    <row r="383" spans="1:29" ht="12.75" x14ac:dyDescent="0.2">
      <c r="A383" s="82" t="s">
        <v>42</v>
      </c>
      <c r="B383" s="141">
        <f t="shared" ref="B383:G383" si="98">B380+B382-B331</f>
        <v>17426.540000000005</v>
      </c>
      <c r="C383" s="141">
        <f t="shared" si="98"/>
        <v>1460304.18</v>
      </c>
      <c r="D383" s="141">
        <f t="shared" si="98"/>
        <v>1439441.4400000004</v>
      </c>
      <c r="E383" s="141">
        <f t="shared" si="98"/>
        <v>860680.31</v>
      </c>
      <c r="F383" s="141">
        <f t="shared" si="98"/>
        <v>1021424.4199999992</v>
      </c>
      <c r="G383" s="39">
        <f t="shared" si="98"/>
        <v>4799276.8900000006</v>
      </c>
      <c r="H383" s="141">
        <f t="shared" ref="H383:P383" si="99">H380+H382-H331</f>
        <v>506048.26</v>
      </c>
      <c r="I383" s="141">
        <f t="shared" si="99"/>
        <v>175083.54000000024</v>
      </c>
      <c r="J383" s="141">
        <f t="shared" si="99"/>
        <v>846245.23000000045</v>
      </c>
      <c r="K383" s="141">
        <f t="shared" si="99"/>
        <v>878345.2699999999</v>
      </c>
      <c r="L383" s="141">
        <f t="shared" si="99"/>
        <v>300108.41000000009</v>
      </c>
      <c r="M383" s="141">
        <f t="shared" si="99"/>
        <v>189849.6800000004</v>
      </c>
      <c r="N383" s="141">
        <f t="shared" si="99"/>
        <v>770036.42000000016</v>
      </c>
      <c r="O383" s="141">
        <f t="shared" si="99"/>
        <v>1454571.7799999996</v>
      </c>
      <c r="P383" s="141">
        <f t="shared" si="99"/>
        <v>3.3651303965598345E-11</v>
      </c>
      <c r="Q383" s="39">
        <f>Q380+Q382-Q331</f>
        <v>5466233.5</v>
      </c>
      <c r="R383" s="38">
        <f>R380+R382-R331</f>
        <v>543755.42999999993</v>
      </c>
      <c r="S383" s="38"/>
      <c r="T383" s="38"/>
      <c r="U383" s="38"/>
      <c r="V383" s="38"/>
      <c r="W383" s="140">
        <f>W380+W382-W331</f>
        <v>10809265.82</v>
      </c>
      <c r="X383" s="41">
        <f>W382+X380</f>
        <v>245725539.8599999</v>
      </c>
      <c r="Y383" s="9"/>
    </row>
    <row r="384" spans="1:29" ht="12.75" x14ac:dyDescent="0.2">
      <c r="A384" s="85"/>
      <c r="B384" s="43"/>
      <c r="C384" s="43"/>
      <c r="D384" s="43"/>
      <c r="E384" s="43"/>
      <c r="F384" s="43"/>
      <c r="G384" s="47"/>
      <c r="H384" s="43"/>
      <c r="I384" s="43"/>
      <c r="J384" s="43"/>
      <c r="K384" s="43"/>
      <c r="L384" s="43"/>
      <c r="M384" s="43"/>
      <c r="N384" s="43"/>
      <c r="O384" s="43"/>
      <c r="P384" s="43"/>
      <c r="Q384" s="47"/>
      <c r="R384" s="43"/>
      <c r="S384" s="43"/>
      <c r="T384" s="43"/>
      <c r="U384" s="43"/>
      <c r="V384" s="43"/>
      <c r="W384" s="87"/>
      <c r="X384" s="46"/>
    </row>
    <row r="385" spans="1:25" ht="12.75" x14ac:dyDescent="0.2">
      <c r="A385" s="82" t="s">
        <v>50</v>
      </c>
      <c r="B385" s="38">
        <v>0</v>
      </c>
      <c r="C385" s="38">
        <v>129756.66</v>
      </c>
      <c r="D385" s="38">
        <v>114948.84</v>
      </c>
      <c r="E385" s="38">
        <v>88470.45</v>
      </c>
      <c r="F385" s="38">
        <v>109176.3</v>
      </c>
      <c r="G385" s="39">
        <f>SUM(B385:F385)</f>
        <v>442352.25</v>
      </c>
      <c r="H385" s="38">
        <v>36623.58</v>
      </c>
      <c r="I385" s="38">
        <v>17690.509999999998</v>
      </c>
      <c r="J385" s="38">
        <v>102567.97</v>
      </c>
      <c r="K385" s="38">
        <v>105821.58</v>
      </c>
      <c r="L385" s="38">
        <v>109142.57</v>
      </c>
      <c r="M385" s="38">
        <v>41197.22</v>
      </c>
      <c r="N385" s="38">
        <v>101644.87</v>
      </c>
      <c r="O385" s="38">
        <v>194167.9</v>
      </c>
      <c r="P385" s="38">
        <v>0</v>
      </c>
      <c r="Q385" s="39">
        <f>SUM(H385:P385)</f>
        <v>708856.20000000007</v>
      </c>
      <c r="R385" s="165">
        <v>103291.9</v>
      </c>
      <c r="S385" s="165"/>
      <c r="T385" s="165"/>
      <c r="U385" s="165"/>
      <c r="V385" s="165"/>
      <c r="W385" s="83">
        <f>Q385+G385+R385</f>
        <v>1254500.3500000001</v>
      </c>
      <c r="X385" s="41"/>
    </row>
    <row r="386" spans="1:25" ht="12.75" x14ac:dyDescent="0.2">
      <c r="A386" s="82" t="s">
        <v>42</v>
      </c>
      <c r="B386" s="141">
        <f t="shared" ref="B386:G386" si="100">B383+B385-B334</f>
        <v>17426.540000000005</v>
      </c>
      <c r="C386" s="141">
        <f t="shared" si="100"/>
        <v>1460249.3399999999</v>
      </c>
      <c r="D386" s="141">
        <f t="shared" si="100"/>
        <v>1453508.2000000004</v>
      </c>
      <c r="E386" s="141">
        <f t="shared" si="100"/>
        <v>795231.41</v>
      </c>
      <c r="F386" s="141">
        <f t="shared" si="100"/>
        <v>1014883.0399999993</v>
      </c>
      <c r="G386" s="39">
        <f t="shared" si="100"/>
        <v>4741298.53</v>
      </c>
      <c r="H386" s="141">
        <f t="shared" ref="H386:P386" si="101">H383+H385-H334</f>
        <v>435149.97</v>
      </c>
      <c r="I386" s="141">
        <f t="shared" si="101"/>
        <v>177309.96000000025</v>
      </c>
      <c r="J386" s="141">
        <f t="shared" si="101"/>
        <v>869096.12000000046</v>
      </c>
      <c r="K386" s="141">
        <f t="shared" si="101"/>
        <v>886542.62999999989</v>
      </c>
      <c r="L386" s="141">
        <f t="shared" si="101"/>
        <v>409250.9800000001</v>
      </c>
      <c r="M386" s="141">
        <f t="shared" si="101"/>
        <v>186838.56000000041</v>
      </c>
      <c r="N386" s="141">
        <f t="shared" si="101"/>
        <v>772000.88000000012</v>
      </c>
      <c r="O386" s="141">
        <f t="shared" si="101"/>
        <v>1487631.0299999996</v>
      </c>
      <c r="P386" s="141">
        <f t="shared" si="101"/>
        <v>3.3651303965598345E-11</v>
      </c>
      <c r="Q386" s="39">
        <f>Q383+Q385-Q334</f>
        <v>5569765.04</v>
      </c>
      <c r="R386" s="38">
        <f>R383+R385-R334</f>
        <v>538045.75</v>
      </c>
      <c r="S386" s="38"/>
      <c r="T386" s="38"/>
      <c r="U386" s="38"/>
      <c r="V386" s="38"/>
      <c r="W386" s="140">
        <f>W383+W385-W334</f>
        <v>10849109.32</v>
      </c>
      <c r="X386" s="41">
        <f>W385+X383</f>
        <v>246980040.20999989</v>
      </c>
      <c r="Y386" s="9"/>
    </row>
    <row r="387" spans="1:25" ht="12.75" x14ac:dyDescent="0.2">
      <c r="A387" s="85"/>
      <c r="B387" s="43"/>
      <c r="C387" s="43"/>
      <c r="D387" s="43"/>
      <c r="E387" s="43"/>
      <c r="F387" s="43"/>
      <c r="G387" s="47"/>
      <c r="H387" s="43"/>
      <c r="I387" s="43"/>
      <c r="J387" s="43"/>
      <c r="K387" s="43"/>
      <c r="L387" s="43"/>
      <c r="M387" s="43"/>
      <c r="N387" s="43"/>
      <c r="O387" s="43"/>
      <c r="P387" s="43"/>
      <c r="Q387" s="47"/>
      <c r="R387" s="43"/>
      <c r="S387" s="43"/>
      <c r="T387" s="43"/>
      <c r="U387" s="43"/>
      <c r="V387" s="43"/>
      <c r="W387" s="87"/>
      <c r="X387" s="46"/>
    </row>
    <row r="388" spans="1:25" ht="12.75" x14ac:dyDescent="0.2">
      <c r="A388" s="82" t="s">
        <v>51</v>
      </c>
      <c r="B388" s="38">
        <v>0</v>
      </c>
      <c r="C388" s="38">
        <v>105160.62</v>
      </c>
      <c r="D388" s="38">
        <v>151591.92000000001</v>
      </c>
      <c r="E388" s="38">
        <v>752.94</v>
      </c>
      <c r="F388" s="38">
        <v>93866.52</v>
      </c>
      <c r="G388" s="39">
        <f>SUM(B388:F388)</f>
        <v>351372</v>
      </c>
      <c r="H388" s="38">
        <v>36110.79</v>
      </c>
      <c r="I388" s="38">
        <v>0</v>
      </c>
      <c r="J388" s="38">
        <v>51796.55</v>
      </c>
      <c r="K388" s="38">
        <v>56110.13</v>
      </c>
      <c r="L388" s="38">
        <v>78479.600000000006</v>
      </c>
      <c r="M388" s="38">
        <v>24315.02</v>
      </c>
      <c r="N388" s="38">
        <v>73343.759999999995</v>
      </c>
      <c r="O388" s="38">
        <v>120561.72</v>
      </c>
      <c r="P388" s="38">
        <v>71189.63</v>
      </c>
      <c r="Q388" s="39">
        <f>SUM(H388:P388)</f>
        <v>511907.19999999995</v>
      </c>
      <c r="R388" s="40">
        <v>0</v>
      </c>
      <c r="S388" s="40"/>
      <c r="T388" s="40"/>
      <c r="U388" s="40"/>
      <c r="V388" s="40"/>
      <c r="W388" s="83">
        <f>Q388+G388+R388</f>
        <v>863279.2</v>
      </c>
      <c r="X388" s="41"/>
    </row>
    <row r="389" spans="1:25" ht="12.75" x14ac:dyDescent="0.2">
      <c r="A389" s="82" t="s">
        <v>42</v>
      </c>
      <c r="B389" s="141">
        <f t="shared" ref="B389:G389" si="102">B386+B388-B337</f>
        <v>15448.460000000005</v>
      </c>
      <c r="C389" s="141">
        <f t="shared" si="102"/>
        <v>1447714.2</v>
      </c>
      <c r="D389" s="141">
        <f t="shared" si="102"/>
        <v>1431029.0800000003</v>
      </c>
      <c r="E389" s="141">
        <f t="shared" si="102"/>
        <v>656529.71</v>
      </c>
      <c r="F389" s="141">
        <f t="shared" si="102"/>
        <v>1024928.4199999993</v>
      </c>
      <c r="G389" s="39">
        <f t="shared" si="102"/>
        <v>4575649.87</v>
      </c>
      <c r="H389" s="141">
        <f t="shared" ref="H389:P389" si="103">H386+H388-H337</f>
        <v>458044.6</v>
      </c>
      <c r="I389" s="141">
        <f t="shared" si="103"/>
        <v>177309.96000000025</v>
      </c>
      <c r="J389" s="141">
        <f t="shared" si="103"/>
        <v>869561.55000000051</v>
      </c>
      <c r="K389" s="141">
        <f t="shared" si="103"/>
        <v>887393.2</v>
      </c>
      <c r="L389" s="141">
        <f t="shared" si="103"/>
        <v>487730.58000000007</v>
      </c>
      <c r="M389" s="141">
        <f t="shared" si="103"/>
        <v>182323.20000000039</v>
      </c>
      <c r="N389" s="141">
        <f t="shared" si="103"/>
        <v>785840.02000000014</v>
      </c>
      <c r="O389" s="141">
        <f t="shared" si="103"/>
        <v>1500931.4599999995</v>
      </c>
      <c r="P389" s="141">
        <f t="shared" si="103"/>
        <v>71189.630000000034</v>
      </c>
      <c r="Q389" s="39">
        <f>Q386+Q388-Q337</f>
        <v>5420324.2000000002</v>
      </c>
      <c r="R389" s="38">
        <f>R386+R388-R337</f>
        <v>538045.75</v>
      </c>
      <c r="S389" s="38"/>
      <c r="T389" s="38"/>
      <c r="U389" s="38"/>
      <c r="V389" s="38"/>
      <c r="W389" s="140">
        <f>W386+W388-W337</f>
        <v>10534019.82</v>
      </c>
      <c r="X389" s="41">
        <f>W388+X386</f>
        <v>247843319.40999988</v>
      </c>
      <c r="Y389" s="9"/>
    </row>
    <row r="390" spans="1:25" ht="12.75" x14ac:dyDescent="0.2">
      <c r="A390" s="85"/>
      <c r="B390" s="44"/>
      <c r="C390" s="44"/>
      <c r="D390" s="44"/>
      <c r="E390" s="44"/>
      <c r="F390" s="44"/>
      <c r="G390" s="45"/>
      <c r="H390" s="44"/>
      <c r="I390" s="44"/>
      <c r="J390" s="44"/>
      <c r="K390" s="44"/>
      <c r="L390" s="44"/>
      <c r="M390" s="44"/>
      <c r="N390" s="44"/>
      <c r="O390" s="44"/>
      <c r="P390" s="44"/>
      <c r="Q390" s="45"/>
      <c r="R390" s="43"/>
      <c r="S390" s="43"/>
      <c r="T390" s="43"/>
      <c r="U390" s="43"/>
      <c r="V390" s="43"/>
      <c r="W390" s="86"/>
      <c r="X390" s="46"/>
    </row>
    <row r="391" spans="1:25" ht="12.75" x14ac:dyDescent="0.2">
      <c r="A391" s="82" t="s">
        <v>52</v>
      </c>
      <c r="B391" s="38">
        <v>0</v>
      </c>
      <c r="C391" s="38">
        <v>109176.3</v>
      </c>
      <c r="D391" s="38">
        <v>94870.44</v>
      </c>
      <c r="E391" s="38">
        <v>0</v>
      </c>
      <c r="F391" s="38">
        <v>114446.88</v>
      </c>
      <c r="G391" s="39">
        <f>SUM(B391:F391)</f>
        <v>318493.62</v>
      </c>
      <c r="H391" s="38">
        <v>0</v>
      </c>
      <c r="I391" s="38">
        <v>0</v>
      </c>
      <c r="J391" s="38">
        <v>64091.66</v>
      </c>
      <c r="K391" s="38">
        <v>65653.59</v>
      </c>
      <c r="L391" s="38">
        <v>0</v>
      </c>
      <c r="M391" s="38">
        <v>7353.24</v>
      </c>
      <c r="N391" s="38">
        <v>68417.77</v>
      </c>
      <c r="O391" s="38">
        <v>93294</v>
      </c>
      <c r="P391" s="38">
        <v>0</v>
      </c>
      <c r="Q391" s="39">
        <f>SUM(H391:P391)</f>
        <v>298810.26</v>
      </c>
      <c r="R391" s="40">
        <v>0</v>
      </c>
      <c r="S391" s="40"/>
      <c r="T391" s="40"/>
      <c r="U391" s="40"/>
      <c r="V391" s="40"/>
      <c r="W391" s="83">
        <f>Q391+G391+R391</f>
        <v>617303.88</v>
      </c>
      <c r="X391" s="41"/>
    </row>
    <row r="392" spans="1:25" ht="12.75" x14ac:dyDescent="0.2">
      <c r="A392" s="82" t="s">
        <v>42</v>
      </c>
      <c r="B392" s="141">
        <f t="shared" ref="B392:G392" si="104">B389+B391-B340</f>
        <v>14657.230000000005</v>
      </c>
      <c r="C392" s="141">
        <f t="shared" si="104"/>
        <v>1447354.32</v>
      </c>
      <c r="D392" s="141">
        <f t="shared" si="104"/>
        <v>1359246.2800000003</v>
      </c>
      <c r="E392" s="141">
        <f t="shared" si="104"/>
        <v>627971.17999999993</v>
      </c>
      <c r="F392" s="141">
        <f t="shared" si="104"/>
        <v>1029097.3399999994</v>
      </c>
      <c r="G392" s="39">
        <f t="shared" si="104"/>
        <v>4478326.3500000006</v>
      </c>
      <c r="H392" s="141">
        <f t="shared" ref="H392:P392" si="105">H389+H391-H340</f>
        <v>452180.88999999996</v>
      </c>
      <c r="I392" s="141">
        <f t="shared" si="105"/>
        <v>177309.96000000025</v>
      </c>
      <c r="J392" s="141">
        <f t="shared" si="105"/>
        <v>871478.24000000057</v>
      </c>
      <c r="K392" s="141">
        <f t="shared" si="105"/>
        <v>890967.42999999993</v>
      </c>
      <c r="L392" s="141">
        <f t="shared" si="105"/>
        <v>487730.58000000007</v>
      </c>
      <c r="M392" s="141">
        <f t="shared" si="105"/>
        <v>180715.91000000038</v>
      </c>
      <c r="N392" s="141">
        <f t="shared" si="105"/>
        <v>798449.03000000014</v>
      </c>
      <c r="O392" s="141">
        <f t="shared" si="105"/>
        <v>1485457.8999999994</v>
      </c>
      <c r="P392" s="141">
        <f t="shared" si="105"/>
        <v>71189.630000000034</v>
      </c>
      <c r="Q392" s="39">
        <f>Q389+Q391-Q340</f>
        <v>5415479.5700000003</v>
      </c>
      <c r="R392" s="38">
        <f>R389+R391-R340</f>
        <v>538045.75</v>
      </c>
      <c r="S392" s="38"/>
      <c r="T392" s="38"/>
      <c r="U392" s="38"/>
      <c r="V392" s="38"/>
      <c r="W392" s="140">
        <f>W389+W391-W340</f>
        <v>10431851.670000002</v>
      </c>
      <c r="X392" s="41">
        <f>W391+X389</f>
        <v>248460623.28999987</v>
      </c>
    </row>
    <row r="393" spans="1:25" ht="12.75" x14ac:dyDescent="0.2">
      <c r="A393" s="85"/>
      <c r="B393" s="43"/>
      <c r="C393" s="43"/>
      <c r="D393" s="43"/>
      <c r="E393" s="43"/>
      <c r="F393" s="43"/>
      <c r="G393" s="47"/>
      <c r="H393" s="43"/>
      <c r="I393" s="43"/>
      <c r="J393" s="43"/>
      <c r="K393" s="43"/>
      <c r="L393" s="43"/>
      <c r="M393" s="43"/>
      <c r="N393" s="43"/>
      <c r="O393" s="43"/>
      <c r="P393" s="43"/>
      <c r="Q393" s="47"/>
      <c r="R393" s="43"/>
      <c r="S393" s="43"/>
      <c r="T393" s="43"/>
      <c r="U393" s="43"/>
      <c r="V393" s="43"/>
      <c r="W393" s="87"/>
      <c r="X393" s="46"/>
    </row>
    <row r="394" spans="1:25" ht="12.75" x14ac:dyDescent="0.2">
      <c r="A394" s="82" t="s">
        <v>53</v>
      </c>
      <c r="B394" s="38">
        <v>0</v>
      </c>
      <c r="C394" s="38">
        <v>117458.64</v>
      </c>
      <c r="D394" s="38">
        <v>62745</v>
      </c>
      <c r="E394" s="38">
        <v>0</v>
      </c>
      <c r="F394" s="38">
        <v>103654.74</v>
      </c>
      <c r="G394" s="39">
        <f>SUM(B394:F394)</f>
        <v>283858.38</v>
      </c>
      <c r="H394" s="38">
        <v>0</v>
      </c>
      <c r="I394" s="38">
        <v>0</v>
      </c>
      <c r="J394" s="38">
        <v>57203.55</v>
      </c>
      <c r="K394" s="38">
        <v>65738.47</v>
      </c>
      <c r="L394" s="38">
        <v>0</v>
      </c>
      <c r="M394" s="38">
        <v>0</v>
      </c>
      <c r="N394" s="38">
        <v>65842.12</v>
      </c>
      <c r="O394" s="38">
        <v>115055.43</v>
      </c>
      <c r="P394" s="38">
        <v>0</v>
      </c>
      <c r="Q394" s="39">
        <f>SUM(H394:P394)</f>
        <v>303839.57</v>
      </c>
      <c r="R394" s="40">
        <v>0</v>
      </c>
      <c r="S394" s="40"/>
      <c r="T394" s="40"/>
      <c r="U394" s="40"/>
      <c r="V394" s="40"/>
      <c r="W394" s="83">
        <f>Q394+G394+R394</f>
        <v>587697.94999999995</v>
      </c>
      <c r="X394" s="41"/>
    </row>
    <row r="395" spans="1:25" ht="13.5" thickBot="1" x14ac:dyDescent="0.25">
      <c r="A395" s="88" t="s">
        <v>42</v>
      </c>
      <c r="B395" s="143">
        <f t="shared" ref="B395:G395" si="106">B392+B394-B343</f>
        <v>14657.230000000005</v>
      </c>
      <c r="C395" s="143">
        <f t="shared" si="106"/>
        <v>1441924.74</v>
      </c>
      <c r="D395" s="143">
        <f t="shared" si="106"/>
        <v>1321603.7200000002</v>
      </c>
      <c r="E395" s="143">
        <f t="shared" si="106"/>
        <v>574563.0199999999</v>
      </c>
      <c r="F395" s="143">
        <f t="shared" si="106"/>
        <v>1065250.0999999994</v>
      </c>
      <c r="G395" s="50">
        <f t="shared" si="106"/>
        <v>4417998.8100000005</v>
      </c>
      <c r="H395" s="143">
        <f t="shared" ref="H395:P395" si="107">H392+H394-H343</f>
        <v>452180.88999999996</v>
      </c>
      <c r="I395" s="143">
        <f t="shared" si="107"/>
        <v>177309.96000000025</v>
      </c>
      <c r="J395" s="143">
        <f t="shared" si="107"/>
        <v>859200.97000000067</v>
      </c>
      <c r="K395" s="143">
        <f t="shared" si="107"/>
        <v>887609.7699999999</v>
      </c>
      <c r="L395" s="143">
        <f t="shared" si="107"/>
        <v>487730.58000000007</v>
      </c>
      <c r="M395" s="143">
        <f t="shared" si="107"/>
        <v>180715.91000000038</v>
      </c>
      <c r="N395" s="143">
        <f t="shared" si="107"/>
        <v>795271.95000000019</v>
      </c>
      <c r="O395" s="143">
        <f t="shared" si="107"/>
        <v>1497242.8699999994</v>
      </c>
      <c r="P395" s="143">
        <f t="shared" si="107"/>
        <v>71189.630000000034</v>
      </c>
      <c r="Q395" s="50">
        <f>Q392+Q394-Q343</f>
        <v>5408452.5300000003</v>
      </c>
      <c r="R395" s="49">
        <f>R392+R394-R343</f>
        <v>538045.75</v>
      </c>
      <c r="S395" s="49"/>
      <c r="T395" s="49"/>
      <c r="U395" s="49"/>
      <c r="V395" s="49"/>
      <c r="W395" s="144">
        <f>W392+W394-W343</f>
        <v>10364497.090000002</v>
      </c>
      <c r="X395" s="51">
        <f>W394+X392</f>
        <v>249048321.23999986</v>
      </c>
    </row>
    <row r="396" spans="1:25" ht="12.75" x14ac:dyDescent="0.2">
      <c r="A396" s="92"/>
      <c r="B396" s="171" t="s">
        <v>80</v>
      </c>
      <c r="C396" s="90"/>
      <c r="D396" s="90"/>
      <c r="E396" s="90"/>
      <c r="F396" s="90"/>
      <c r="G396" s="90"/>
      <c r="H396" s="90"/>
      <c r="I396" s="90"/>
      <c r="J396" s="90"/>
      <c r="K396" s="90"/>
      <c r="L396" s="90"/>
      <c r="M396" s="90"/>
      <c r="N396" s="90"/>
      <c r="O396" s="90"/>
      <c r="P396" s="90"/>
      <c r="Q396" s="90"/>
      <c r="R396" s="52"/>
      <c r="S396" s="52"/>
      <c r="T396" s="52"/>
      <c r="U396" s="52"/>
      <c r="V396" s="52"/>
      <c r="W396" s="90"/>
      <c r="X396" s="91"/>
    </row>
    <row r="397" spans="1:25" ht="12.75" x14ac:dyDescent="0.2">
      <c r="A397" s="19"/>
      <c r="B397" s="137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W397" s="2"/>
      <c r="X397" s="9"/>
    </row>
    <row r="398" spans="1:25" ht="12.75" x14ac:dyDescent="0.2">
      <c r="A398" s="19"/>
      <c r="B398" s="137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W398" s="2"/>
      <c r="X398" s="9"/>
    </row>
    <row r="399" spans="1:25" x14ac:dyDescent="0.2"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W399" s="2"/>
      <c r="X399" s="9"/>
    </row>
    <row r="400" spans="1:25" ht="27" x14ac:dyDescent="0.35">
      <c r="A400" s="133" t="s">
        <v>81</v>
      </c>
      <c r="B400" s="54"/>
      <c r="C400" s="122"/>
      <c r="D400" s="58"/>
      <c r="E400" s="127"/>
      <c r="F400" s="128"/>
      <c r="G400" s="127"/>
      <c r="H400" s="129"/>
      <c r="I400" s="130"/>
      <c r="J400" s="130"/>
      <c r="K400" s="130"/>
      <c r="L400" s="130"/>
      <c r="M400" s="130"/>
      <c r="N400" s="130"/>
      <c r="O400" s="130"/>
      <c r="P400" s="130"/>
      <c r="Q400" s="130"/>
      <c r="R400" s="128"/>
      <c r="S400" s="128"/>
      <c r="T400" s="128"/>
      <c r="U400" s="128"/>
      <c r="V400" s="128"/>
      <c r="W400" s="130"/>
      <c r="X400" s="131"/>
    </row>
    <row r="401" spans="1:25" ht="15.75" x14ac:dyDescent="0.25">
      <c r="A401" s="136"/>
      <c r="B401" s="170"/>
      <c r="C401" s="54"/>
      <c r="D401" s="53"/>
      <c r="E401" s="53"/>
      <c r="F401" s="132"/>
      <c r="G401" s="55"/>
      <c r="H401" s="55"/>
      <c r="I401" s="55"/>
      <c r="J401" s="54"/>
      <c r="K401" s="56"/>
      <c r="L401" s="57"/>
      <c r="M401" s="54"/>
      <c r="N401" s="54" t="s">
        <v>60</v>
      </c>
      <c r="O401" s="54"/>
      <c r="P401" s="54"/>
      <c r="Q401" s="57"/>
      <c r="R401" s="58"/>
      <c r="S401" s="58"/>
      <c r="T401" s="58"/>
      <c r="U401" s="58"/>
      <c r="V401" s="58"/>
      <c r="W401" s="54"/>
      <c r="X401" s="54"/>
    </row>
    <row r="402" spans="1:25" ht="27" x14ac:dyDescent="0.35">
      <c r="A402" s="134" t="s">
        <v>6</v>
      </c>
      <c r="B402" s="122"/>
      <c r="C402" s="122"/>
      <c r="D402" s="122"/>
      <c r="E402" s="122"/>
      <c r="F402" s="122"/>
      <c r="G402" s="122"/>
      <c r="H402" s="122"/>
      <c r="I402" s="122"/>
      <c r="J402" s="122"/>
      <c r="K402" s="122"/>
      <c r="L402" s="122"/>
      <c r="M402" s="122"/>
      <c r="N402" s="122"/>
      <c r="O402" s="122"/>
      <c r="P402" s="122"/>
      <c r="Q402" s="122"/>
      <c r="R402" s="122"/>
      <c r="S402" s="122"/>
      <c r="T402" s="122"/>
      <c r="U402" s="122"/>
      <c r="V402" s="122"/>
      <c r="W402" s="142"/>
      <c r="X402" s="122"/>
    </row>
    <row r="403" spans="1:25" ht="12" thickBot="1" x14ac:dyDescent="0.25">
      <c r="B403" s="2"/>
      <c r="C403" s="2"/>
      <c r="D403" s="2"/>
      <c r="E403" s="2"/>
      <c r="F403" s="59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 t="s">
        <v>60</v>
      </c>
      <c r="W403" s="2"/>
      <c r="X403" s="57"/>
    </row>
    <row r="404" spans="1:25" x14ac:dyDescent="0.2">
      <c r="A404" s="14"/>
      <c r="B404" s="15"/>
      <c r="C404" s="15"/>
      <c r="D404" s="15"/>
      <c r="E404" s="15"/>
      <c r="F404" s="15"/>
      <c r="G404" s="15"/>
      <c r="H404" s="15"/>
      <c r="I404" s="15"/>
      <c r="J404" s="15"/>
      <c r="K404" s="15"/>
      <c r="L404" s="15"/>
      <c r="M404" s="15"/>
      <c r="N404" s="15"/>
      <c r="O404" s="15"/>
      <c r="P404" s="15"/>
      <c r="Q404" s="15"/>
      <c r="R404" s="16"/>
      <c r="S404" s="16"/>
      <c r="T404" s="16"/>
      <c r="U404" s="16"/>
      <c r="V404" s="16"/>
      <c r="W404" s="15"/>
      <c r="X404" s="60" t="s">
        <v>60</v>
      </c>
    </row>
    <row r="405" spans="1:25" ht="13.5" thickBot="1" x14ac:dyDescent="0.25">
      <c r="A405" s="18"/>
      <c r="B405" s="61"/>
      <c r="C405" s="62"/>
      <c r="D405" s="63" t="s">
        <v>73</v>
      </c>
      <c r="E405" s="64"/>
      <c r="F405" s="64"/>
      <c r="G405" s="64"/>
      <c r="H405" s="61"/>
      <c r="I405" s="64"/>
      <c r="J405" s="64"/>
      <c r="K405" s="65" t="s">
        <v>74</v>
      </c>
      <c r="L405" s="64"/>
      <c r="M405" s="64"/>
      <c r="N405" s="64"/>
      <c r="O405" s="64"/>
      <c r="P405" s="64"/>
      <c r="Q405" s="138"/>
      <c r="R405" s="64"/>
      <c r="S405" s="64"/>
      <c r="T405" s="64"/>
      <c r="U405" s="64"/>
      <c r="V405" s="64"/>
      <c r="W405" s="66"/>
      <c r="X405" s="36" t="s">
        <v>60</v>
      </c>
    </row>
    <row r="406" spans="1:25" ht="12" x14ac:dyDescent="0.2">
      <c r="A406" s="67"/>
      <c r="B406" s="68" t="s">
        <v>11</v>
      </c>
      <c r="C406" s="68" t="s">
        <v>12</v>
      </c>
      <c r="D406" s="68" t="s">
        <v>13</v>
      </c>
      <c r="E406" s="68" t="s">
        <v>14</v>
      </c>
      <c r="F406" s="68" t="s">
        <v>15</v>
      </c>
      <c r="G406" s="69" t="s">
        <v>16</v>
      </c>
      <c r="H406" s="68" t="s">
        <v>17</v>
      </c>
      <c r="I406" s="70"/>
      <c r="J406" s="70"/>
      <c r="K406" s="70"/>
      <c r="L406" s="70"/>
      <c r="M406" s="68" t="s">
        <v>18</v>
      </c>
      <c r="N406" s="68" t="s">
        <v>19</v>
      </c>
      <c r="O406" s="68" t="s">
        <v>20</v>
      </c>
      <c r="P406" s="68" t="s">
        <v>21</v>
      </c>
      <c r="Q406" s="69" t="s">
        <v>16</v>
      </c>
      <c r="R406" s="71" t="s">
        <v>69</v>
      </c>
      <c r="S406" s="71"/>
      <c r="T406" s="71"/>
      <c r="U406" s="71"/>
      <c r="V406" s="71"/>
      <c r="W406" s="72" t="s">
        <v>7</v>
      </c>
      <c r="X406" s="73" t="s">
        <v>70</v>
      </c>
    </row>
    <row r="407" spans="1:25" ht="12.75" thickBot="1" x14ac:dyDescent="0.25">
      <c r="A407" s="75"/>
      <c r="B407" s="76" t="s">
        <v>23</v>
      </c>
      <c r="C407" s="76" t="s">
        <v>24</v>
      </c>
      <c r="D407" s="76" t="s">
        <v>25</v>
      </c>
      <c r="E407" s="76" t="s">
        <v>26</v>
      </c>
      <c r="F407" s="76" t="s">
        <v>27</v>
      </c>
      <c r="G407" s="77" t="s">
        <v>28</v>
      </c>
      <c r="H407" s="76" t="s">
        <v>29</v>
      </c>
      <c r="I407" s="76" t="s">
        <v>30</v>
      </c>
      <c r="J407" s="76" t="s">
        <v>31</v>
      </c>
      <c r="K407" s="76" t="s">
        <v>32</v>
      </c>
      <c r="L407" s="76" t="s">
        <v>33</v>
      </c>
      <c r="M407" s="76" t="s">
        <v>34</v>
      </c>
      <c r="N407" s="76" t="s">
        <v>35</v>
      </c>
      <c r="O407" s="76" t="s">
        <v>36</v>
      </c>
      <c r="P407" s="76" t="s">
        <v>37</v>
      </c>
      <c r="Q407" s="77" t="s">
        <v>28</v>
      </c>
      <c r="R407" s="78" t="s">
        <v>82</v>
      </c>
      <c r="S407" s="78"/>
      <c r="T407" s="78"/>
      <c r="U407" s="78"/>
      <c r="V407" s="78"/>
      <c r="W407" s="79" t="s">
        <v>10</v>
      </c>
      <c r="X407" s="80" t="s">
        <v>71</v>
      </c>
    </row>
    <row r="408" spans="1:25" x14ac:dyDescent="0.2">
      <c r="A408" s="18"/>
      <c r="B408" s="33"/>
      <c r="C408" s="33"/>
      <c r="D408" s="33"/>
      <c r="E408" s="33"/>
      <c r="F408" s="33"/>
      <c r="G408" s="34"/>
      <c r="H408" s="33"/>
      <c r="I408" s="33"/>
      <c r="J408" s="33"/>
      <c r="K408" s="33"/>
      <c r="L408" s="33"/>
      <c r="M408" s="33"/>
      <c r="N408" s="33"/>
      <c r="O408" s="33"/>
      <c r="P408" s="33"/>
      <c r="Q408" s="34"/>
      <c r="R408" s="35"/>
      <c r="S408" s="35"/>
      <c r="T408" s="35"/>
      <c r="U408" s="35"/>
      <c r="V408" s="35"/>
      <c r="W408" s="81"/>
      <c r="X408" s="36"/>
      <c r="Y408" s="9"/>
    </row>
    <row r="409" spans="1:25" ht="12.75" x14ac:dyDescent="0.2">
      <c r="A409" s="82" t="s">
        <v>41</v>
      </c>
      <c r="B409" s="38">
        <v>5706.62</v>
      </c>
      <c r="C409" s="38">
        <v>121265.76</v>
      </c>
      <c r="D409" s="38">
        <v>110056.32000000001</v>
      </c>
      <c r="E409" s="38">
        <v>0</v>
      </c>
      <c r="F409" s="38">
        <v>95789.759999999995</v>
      </c>
      <c r="G409" s="39">
        <f>SUM(B409:F409)</f>
        <v>332818.46000000002</v>
      </c>
      <c r="H409" s="38">
        <v>28209.98</v>
      </c>
      <c r="I409" s="38">
        <v>0</v>
      </c>
      <c r="J409" s="38">
        <v>50857.65</v>
      </c>
      <c r="K409" s="38">
        <v>49125.7</v>
      </c>
      <c r="L409" s="38">
        <v>0</v>
      </c>
      <c r="M409" s="38">
        <v>0</v>
      </c>
      <c r="N409" s="38">
        <v>45104.91</v>
      </c>
      <c r="O409" s="38">
        <v>90982.89</v>
      </c>
      <c r="P409" s="38">
        <v>0</v>
      </c>
      <c r="Q409" s="39">
        <f>SUM(H409:P409)</f>
        <v>264281.13</v>
      </c>
      <c r="R409" s="40">
        <v>0</v>
      </c>
      <c r="S409" s="40"/>
      <c r="T409" s="40"/>
      <c r="U409" s="40"/>
      <c r="V409" s="40"/>
      <c r="W409" s="83">
        <f>Q409+G409+R409</f>
        <v>597099.59000000008</v>
      </c>
      <c r="X409" s="41"/>
    </row>
    <row r="410" spans="1:25" ht="12.75" x14ac:dyDescent="0.2">
      <c r="A410" s="82" t="s">
        <v>42</v>
      </c>
      <c r="B410" s="141">
        <f>B395+B409-B361</f>
        <v>20363.850000000006</v>
      </c>
      <c r="C410" s="141">
        <f t="shared" ref="C410:W410" si="108">C395+C409-C361</f>
        <v>1428414.24</v>
      </c>
      <c r="D410" s="141">
        <f t="shared" si="108"/>
        <v>1310185.7200000002</v>
      </c>
      <c r="E410" s="141">
        <f t="shared" si="108"/>
        <v>574563.0199999999</v>
      </c>
      <c r="F410" s="141">
        <f t="shared" si="108"/>
        <v>1092773.2999999993</v>
      </c>
      <c r="G410" s="172">
        <f t="shared" si="108"/>
        <v>4426300.1300000008</v>
      </c>
      <c r="H410" s="141">
        <f t="shared" si="108"/>
        <v>480390.86999999994</v>
      </c>
      <c r="I410" s="141">
        <f t="shared" si="108"/>
        <v>177309.96000000025</v>
      </c>
      <c r="J410" s="141">
        <f t="shared" si="108"/>
        <v>843585.85000000068</v>
      </c>
      <c r="K410" s="141">
        <f t="shared" si="108"/>
        <v>872052.3899999999</v>
      </c>
      <c r="L410" s="141">
        <f t="shared" si="108"/>
        <v>487730.58000000007</v>
      </c>
      <c r="M410" s="141">
        <f t="shared" si="108"/>
        <v>180715.91000000038</v>
      </c>
      <c r="N410" s="141">
        <f t="shared" si="108"/>
        <v>782842.93000000017</v>
      </c>
      <c r="O410" s="141">
        <f t="shared" si="108"/>
        <v>1466853.2799999993</v>
      </c>
      <c r="P410" s="141">
        <f t="shared" si="108"/>
        <v>71189.630000000034</v>
      </c>
      <c r="Q410" s="39">
        <f t="shared" si="108"/>
        <v>5362671.4000000004</v>
      </c>
      <c r="R410" s="141">
        <f t="shared" si="108"/>
        <v>538045.75</v>
      </c>
      <c r="S410" s="141"/>
      <c r="T410" s="141"/>
      <c r="U410" s="141"/>
      <c r="V410" s="141"/>
      <c r="W410" s="83">
        <f t="shared" si="108"/>
        <v>10327017.280000001</v>
      </c>
      <c r="X410" s="41">
        <f>X395+W409</f>
        <v>249645420.82999986</v>
      </c>
    </row>
    <row r="411" spans="1:25" ht="12.75" x14ac:dyDescent="0.2">
      <c r="A411" s="85"/>
      <c r="B411" s="38"/>
      <c r="C411" s="38"/>
      <c r="D411" s="38"/>
      <c r="E411" s="38"/>
      <c r="F411" s="38"/>
      <c r="G411" s="39"/>
      <c r="H411" s="38"/>
      <c r="I411" s="38"/>
      <c r="J411" s="38"/>
      <c r="K411" s="38"/>
      <c r="L411" s="38"/>
      <c r="M411" s="38"/>
      <c r="N411" s="38"/>
      <c r="O411" s="38"/>
      <c r="P411" s="38"/>
      <c r="Q411" s="39" t="s">
        <v>60</v>
      </c>
      <c r="R411" s="43"/>
      <c r="S411" s="43"/>
      <c r="T411" s="43"/>
      <c r="U411" s="43"/>
      <c r="V411" s="43"/>
      <c r="W411" s="83"/>
      <c r="X411" s="41"/>
      <c r="Y411" s="9"/>
    </row>
    <row r="412" spans="1:25" ht="12.75" x14ac:dyDescent="0.2">
      <c r="A412" s="82" t="s">
        <v>43</v>
      </c>
      <c r="B412" s="38">
        <v>0</v>
      </c>
      <c r="C412" s="38">
        <v>136551.35999999999</v>
      </c>
      <c r="D412" s="38">
        <v>122794.32</v>
      </c>
      <c r="E412" s="38">
        <v>0</v>
      </c>
      <c r="F412" s="38">
        <v>71332.800000000003</v>
      </c>
      <c r="G412" s="39">
        <f>SUM(B412:F412)</f>
        <v>330678.48</v>
      </c>
      <c r="H412" s="38">
        <v>0</v>
      </c>
      <c r="I412" s="38">
        <v>0</v>
      </c>
      <c r="J412" s="38">
        <v>61805.25</v>
      </c>
      <c r="K412" s="38">
        <v>62299.37</v>
      </c>
      <c r="L412" s="38">
        <v>0</v>
      </c>
      <c r="M412" s="38">
        <v>0</v>
      </c>
      <c r="N412" s="38">
        <v>45186.38</v>
      </c>
      <c r="O412" s="38">
        <v>0</v>
      </c>
      <c r="P412" s="38">
        <v>0</v>
      </c>
      <c r="Q412" s="39">
        <f>SUM(H412:P412)</f>
        <v>169291</v>
      </c>
      <c r="R412" s="40">
        <v>0</v>
      </c>
      <c r="S412" s="40"/>
      <c r="T412" s="40"/>
      <c r="U412" s="40"/>
      <c r="V412" s="40"/>
      <c r="W412" s="83">
        <f>Q412+G412+R412</f>
        <v>499969.48</v>
      </c>
      <c r="X412" s="41"/>
    </row>
    <row r="413" spans="1:25" ht="12.75" x14ac:dyDescent="0.2">
      <c r="A413" s="82" t="s">
        <v>42</v>
      </c>
      <c r="B413" s="141">
        <f t="shared" ref="B413:K413" si="109">B410+B412-B364</f>
        <v>20363.850000000006</v>
      </c>
      <c r="C413" s="141">
        <f t="shared" si="109"/>
        <v>1448510.8800000001</v>
      </c>
      <c r="D413" s="141">
        <f t="shared" si="109"/>
        <v>1361199.7600000002</v>
      </c>
      <c r="E413" s="141">
        <f t="shared" si="109"/>
        <v>574563.0199999999</v>
      </c>
      <c r="F413" s="141">
        <f t="shared" si="109"/>
        <v>1129972.8199999994</v>
      </c>
      <c r="G413" s="39">
        <f t="shared" si="109"/>
        <v>4534610.330000001</v>
      </c>
      <c r="H413" s="141">
        <f t="shared" si="109"/>
        <v>464055.21999999991</v>
      </c>
      <c r="I413" s="141">
        <f t="shared" si="109"/>
        <v>177309.96000000025</v>
      </c>
      <c r="J413" s="141">
        <f t="shared" si="109"/>
        <v>860931.43000000063</v>
      </c>
      <c r="K413" s="141">
        <f t="shared" si="109"/>
        <v>890035.16999999993</v>
      </c>
      <c r="L413" s="141">
        <f t="shared" ref="L413:W413" si="110">L410+L412-L364</f>
        <v>487730.58000000007</v>
      </c>
      <c r="M413" s="141">
        <f t="shared" si="110"/>
        <v>179372.57000000039</v>
      </c>
      <c r="N413" s="141">
        <f t="shared" si="110"/>
        <v>793327.77000000014</v>
      </c>
      <c r="O413" s="141">
        <f t="shared" si="110"/>
        <v>1396831.9399999992</v>
      </c>
      <c r="P413" s="141">
        <f t="shared" si="110"/>
        <v>71189.630000000034</v>
      </c>
      <c r="Q413" s="39">
        <f t="shared" si="110"/>
        <v>5320784.2700000005</v>
      </c>
      <c r="R413" s="38">
        <f t="shared" si="110"/>
        <v>538045.75</v>
      </c>
      <c r="S413" s="38"/>
      <c r="T413" s="38"/>
      <c r="U413" s="38"/>
      <c r="V413" s="38"/>
      <c r="W413" s="140">
        <f t="shared" si="110"/>
        <v>10393440.350000001</v>
      </c>
      <c r="X413" s="41">
        <f>W412+X410</f>
        <v>250145390.30999985</v>
      </c>
      <c r="Y413" s="9"/>
    </row>
    <row r="414" spans="1:25" ht="12.75" x14ac:dyDescent="0.2">
      <c r="A414" s="85"/>
      <c r="B414" s="44"/>
      <c r="C414" s="44"/>
      <c r="D414" s="44"/>
      <c r="E414" s="44"/>
      <c r="F414" s="44"/>
      <c r="G414" s="45"/>
      <c r="H414" s="44"/>
      <c r="I414" s="44"/>
      <c r="J414" s="44"/>
      <c r="K414" s="44"/>
      <c r="L414" s="44"/>
      <c r="M414" s="44"/>
      <c r="N414" s="44"/>
      <c r="O414" s="44"/>
      <c r="P414" s="44"/>
      <c r="Q414" s="45"/>
      <c r="R414" s="43"/>
      <c r="S414" s="43"/>
      <c r="T414" s="43"/>
      <c r="U414" s="43"/>
      <c r="V414" s="43"/>
      <c r="W414" s="86"/>
      <c r="X414" s="46"/>
      <c r="Y414" s="9"/>
    </row>
    <row r="415" spans="1:25" ht="12.75" x14ac:dyDescent="0.2">
      <c r="A415" s="82" t="s">
        <v>44</v>
      </c>
      <c r="B415" s="38">
        <v>0</v>
      </c>
      <c r="C415" s="38">
        <v>137315.64000000001</v>
      </c>
      <c r="D415" s="38">
        <v>118718.16</v>
      </c>
      <c r="E415" s="38">
        <v>0</v>
      </c>
      <c r="F415" s="38">
        <v>104196.84</v>
      </c>
      <c r="G415" s="39">
        <f>SUM(B415:F415)</f>
        <v>360230.64</v>
      </c>
      <c r="H415" s="38">
        <v>0</v>
      </c>
      <c r="I415" s="38">
        <v>0</v>
      </c>
      <c r="J415" s="38">
        <v>71143.06</v>
      </c>
      <c r="K415" s="38">
        <v>69554.97</v>
      </c>
      <c r="L415" s="38">
        <v>77078.69</v>
      </c>
      <c r="M415" s="38">
        <v>0</v>
      </c>
      <c r="N415" s="38">
        <v>49612.65</v>
      </c>
      <c r="O415" s="38">
        <v>3351.11</v>
      </c>
      <c r="P415" s="38">
        <v>0</v>
      </c>
      <c r="Q415" s="39">
        <f>SUM(H415:P415)</f>
        <v>270740.47999999998</v>
      </c>
      <c r="R415" s="40">
        <v>0</v>
      </c>
      <c r="S415" s="40"/>
      <c r="T415" s="40"/>
      <c r="U415" s="40"/>
      <c r="V415" s="40"/>
      <c r="W415" s="83">
        <f>Q415+G415+R415</f>
        <v>630971.12</v>
      </c>
      <c r="X415" s="41"/>
    </row>
    <row r="416" spans="1:25" ht="12.75" x14ac:dyDescent="0.2">
      <c r="A416" s="82" t="s">
        <v>42</v>
      </c>
      <c r="B416" s="141">
        <f t="shared" ref="B416:K416" si="111">B413+B415-B367</f>
        <v>20363.850000000006</v>
      </c>
      <c r="C416" s="141">
        <f t="shared" si="111"/>
        <v>1441011.06</v>
      </c>
      <c r="D416" s="141">
        <f t="shared" si="111"/>
        <v>1479917.9200000002</v>
      </c>
      <c r="E416" s="141">
        <f t="shared" si="111"/>
        <v>574563.0199999999</v>
      </c>
      <c r="F416" s="141">
        <f t="shared" si="111"/>
        <v>1168914.8599999994</v>
      </c>
      <c r="G416" s="39">
        <f t="shared" si="111"/>
        <v>4684770.7100000009</v>
      </c>
      <c r="H416" s="141">
        <f t="shared" si="111"/>
        <v>464055.21999999991</v>
      </c>
      <c r="I416" s="141">
        <f t="shared" si="111"/>
        <v>177309.96000000025</v>
      </c>
      <c r="J416" s="141">
        <f t="shared" si="111"/>
        <v>861242.92000000062</v>
      </c>
      <c r="K416" s="141">
        <f t="shared" si="111"/>
        <v>889714.73999999987</v>
      </c>
      <c r="L416" s="141">
        <f t="shared" ref="L416:W416" si="112">L413+L415-L367</f>
        <v>553326.13</v>
      </c>
      <c r="M416" s="141">
        <f t="shared" si="112"/>
        <v>179372.57000000039</v>
      </c>
      <c r="N416" s="141">
        <f t="shared" si="112"/>
        <v>781887.1100000001</v>
      </c>
      <c r="O416" s="141">
        <f t="shared" si="112"/>
        <v>1329174.4299999992</v>
      </c>
      <c r="P416" s="141">
        <f t="shared" si="112"/>
        <v>71189.630000000034</v>
      </c>
      <c r="Q416" s="39">
        <f t="shared" si="112"/>
        <v>5307272.71</v>
      </c>
      <c r="R416" s="38">
        <f t="shared" si="112"/>
        <v>538045.75</v>
      </c>
      <c r="S416" s="38"/>
      <c r="T416" s="38"/>
      <c r="U416" s="38"/>
      <c r="V416" s="38"/>
      <c r="W416" s="140">
        <f t="shared" si="112"/>
        <v>10530089.17</v>
      </c>
      <c r="X416" s="41">
        <f>W415+X413</f>
        <v>250776361.42999986</v>
      </c>
    </row>
    <row r="417" spans="1:25" ht="12.75" x14ac:dyDescent="0.2">
      <c r="A417" s="85"/>
      <c r="B417" s="43"/>
      <c r="C417" s="43"/>
      <c r="D417" s="43"/>
      <c r="E417" s="43"/>
      <c r="F417" s="43"/>
      <c r="G417" s="47"/>
      <c r="H417" s="43"/>
      <c r="I417" s="43"/>
      <c r="J417" s="43"/>
      <c r="K417" s="43"/>
      <c r="L417" s="43"/>
      <c r="M417" s="43"/>
      <c r="N417" s="43"/>
      <c r="O417" s="43"/>
      <c r="P417" s="43"/>
      <c r="Q417" s="47"/>
      <c r="R417" s="43"/>
      <c r="S417" s="43"/>
      <c r="T417" s="43"/>
      <c r="U417" s="43"/>
      <c r="V417" s="43"/>
      <c r="W417" s="87"/>
      <c r="X417" s="46"/>
      <c r="Y417" s="9"/>
    </row>
    <row r="418" spans="1:25" ht="12.75" x14ac:dyDescent="0.2">
      <c r="A418" s="82" t="s">
        <v>45</v>
      </c>
      <c r="B418" s="38">
        <v>0</v>
      </c>
      <c r="C418" s="38">
        <v>140118</v>
      </c>
      <c r="D418" s="38">
        <v>156422.64000000001</v>
      </c>
      <c r="E418" s="38">
        <v>95535</v>
      </c>
      <c r="F418" s="38">
        <v>116680.08</v>
      </c>
      <c r="G418" s="39">
        <f>SUM(B418:F418)</f>
        <v>508755.72000000003</v>
      </c>
      <c r="H418" s="38">
        <v>0</v>
      </c>
      <c r="I418" s="38">
        <v>0</v>
      </c>
      <c r="J418" s="38">
        <v>65681.289999999994</v>
      </c>
      <c r="K418" s="38">
        <v>65559.91</v>
      </c>
      <c r="L418" s="38">
        <v>58077.11</v>
      </c>
      <c r="M418" s="38">
        <v>0</v>
      </c>
      <c r="N418" s="38">
        <v>55063.86</v>
      </c>
      <c r="O418" s="38">
        <v>35543.879999999997</v>
      </c>
      <c r="P418" s="38">
        <v>0</v>
      </c>
      <c r="Q418" s="39">
        <f>SUM(H418:P418)</f>
        <v>279926.05</v>
      </c>
      <c r="R418" s="165">
        <v>58935.6</v>
      </c>
      <c r="S418" s="165"/>
      <c r="T418" s="165"/>
      <c r="U418" s="165"/>
      <c r="V418" s="165"/>
      <c r="W418" s="83">
        <f>Q418+G418+R418</f>
        <v>847617.37</v>
      </c>
      <c r="X418" s="41"/>
    </row>
    <row r="419" spans="1:25" ht="12.75" x14ac:dyDescent="0.2">
      <c r="A419" s="82" t="s">
        <v>42</v>
      </c>
      <c r="B419" s="141">
        <f t="shared" ref="B419:K419" si="113">B416+B418-B370</f>
        <v>10324.650000000005</v>
      </c>
      <c r="C419" s="141">
        <f t="shared" si="113"/>
        <v>1468188.06</v>
      </c>
      <c r="D419" s="141">
        <f t="shared" si="113"/>
        <v>1503321.1600000001</v>
      </c>
      <c r="E419" s="141">
        <f t="shared" si="113"/>
        <v>593674.60999999987</v>
      </c>
      <c r="F419" s="141">
        <f t="shared" si="113"/>
        <v>1207791.1399999994</v>
      </c>
      <c r="G419" s="39">
        <f t="shared" si="113"/>
        <v>4783299.620000001</v>
      </c>
      <c r="H419" s="141">
        <f t="shared" si="113"/>
        <v>416426.58999999991</v>
      </c>
      <c r="I419" s="141">
        <f t="shared" si="113"/>
        <v>177309.96000000025</v>
      </c>
      <c r="J419" s="141">
        <f t="shared" si="113"/>
        <v>874201.30000000063</v>
      </c>
      <c r="K419" s="141">
        <f t="shared" si="113"/>
        <v>898677.10999999987</v>
      </c>
      <c r="L419" s="141">
        <f t="shared" ref="L419:W419" si="114">L416+L418-L370</f>
        <v>610244.07999999996</v>
      </c>
      <c r="M419" s="141">
        <f t="shared" si="114"/>
        <v>179372.57000000039</v>
      </c>
      <c r="N419" s="141">
        <f t="shared" si="114"/>
        <v>801438.42</v>
      </c>
      <c r="O419" s="141">
        <f t="shared" si="114"/>
        <v>1323035.9099999992</v>
      </c>
      <c r="P419" s="141">
        <f t="shared" si="114"/>
        <v>71189.630000000034</v>
      </c>
      <c r="Q419" s="39">
        <f t="shared" si="114"/>
        <v>5351895.5699999994</v>
      </c>
      <c r="R419" s="38">
        <f t="shared" si="114"/>
        <v>546840.22</v>
      </c>
      <c r="S419" s="38"/>
      <c r="T419" s="38"/>
      <c r="U419" s="38"/>
      <c r="V419" s="38"/>
      <c r="W419" s="140">
        <f t="shared" si="114"/>
        <v>10682035.409999998</v>
      </c>
      <c r="X419" s="41">
        <f>W418+X416</f>
        <v>251623978.79999986</v>
      </c>
    </row>
    <row r="420" spans="1:25" ht="12.75" x14ac:dyDescent="0.2">
      <c r="A420" s="85"/>
      <c r="B420" s="44"/>
      <c r="C420" s="44"/>
      <c r="D420" s="44"/>
      <c r="E420" s="44"/>
      <c r="F420" s="44"/>
      <c r="G420" s="45"/>
      <c r="H420" s="44"/>
      <c r="I420" s="44"/>
      <c r="J420" s="44"/>
      <c r="K420" s="44"/>
      <c r="L420" s="44"/>
      <c r="M420" s="44"/>
      <c r="N420" s="44"/>
      <c r="O420" s="44"/>
      <c r="P420" s="44"/>
      <c r="Q420" s="45"/>
      <c r="R420" s="43"/>
      <c r="S420" s="43"/>
      <c r="T420" s="43"/>
      <c r="U420" s="43"/>
      <c r="V420" s="43"/>
      <c r="W420" s="86"/>
      <c r="X420" s="46"/>
      <c r="Y420" s="9"/>
    </row>
    <row r="421" spans="1:25" ht="12.75" x14ac:dyDescent="0.2">
      <c r="A421" s="82" t="s">
        <v>46</v>
      </c>
      <c r="B421" s="38">
        <v>0</v>
      </c>
      <c r="C421" s="38">
        <v>148525.07999999999</v>
      </c>
      <c r="D421" s="38">
        <v>102923.04</v>
      </c>
      <c r="E421" s="38">
        <v>33246.18</v>
      </c>
      <c r="F421" s="38">
        <v>123813.36</v>
      </c>
      <c r="G421" s="39">
        <f>SUM(B421:F421)</f>
        <v>408507.66</v>
      </c>
      <c r="H421" s="38">
        <v>0</v>
      </c>
      <c r="I421" s="38">
        <v>0</v>
      </c>
      <c r="J421" s="38">
        <v>61551.48</v>
      </c>
      <c r="K421" s="38">
        <v>58639.43</v>
      </c>
      <c r="L421" s="38">
        <v>60762.94</v>
      </c>
      <c r="M421" s="38">
        <v>7435.07</v>
      </c>
      <c r="N421" s="38">
        <v>27107.19</v>
      </c>
      <c r="O421" s="38">
        <v>122537.27</v>
      </c>
      <c r="P421" s="38">
        <v>0</v>
      </c>
      <c r="Q421" s="39">
        <f>SUM(H421:P421)</f>
        <v>338033.38</v>
      </c>
      <c r="R421" s="165">
        <v>64196.19</v>
      </c>
      <c r="S421" s="165"/>
      <c r="T421" s="165"/>
      <c r="U421" s="165"/>
      <c r="V421" s="165"/>
      <c r="W421" s="83">
        <f>Q421+G421+R421</f>
        <v>810737.23</v>
      </c>
      <c r="X421" s="41"/>
    </row>
    <row r="422" spans="1:25" ht="12.75" x14ac:dyDescent="0.2">
      <c r="A422" s="82" t="s">
        <v>42</v>
      </c>
      <c r="B422" s="141">
        <f t="shared" ref="B422:K422" si="115">B419+B421-B373</f>
        <v>5706.6200000000053</v>
      </c>
      <c r="C422" s="141">
        <f t="shared" si="115"/>
        <v>1557230.8800000001</v>
      </c>
      <c r="D422" s="141">
        <f t="shared" si="115"/>
        <v>1518903.1600000001</v>
      </c>
      <c r="E422" s="141">
        <f t="shared" si="115"/>
        <v>536191.5199999999</v>
      </c>
      <c r="F422" s="141">
        <f t="shared" si="115"/>
        <v>1262835.9799999995</v>
      </c>
      <c r="G422" s="39">
        <f t="shared" si="115"/>
        <v>4880868.1600000011</v>
      </c>
      <c r="H422" s="141">
        <f t="shared" si="115"/>
        <v>397217.27999999991</v>
      </c>
      <c r="I422" s="141">
        <f t="shared" si="115"/>
        <v>177309.96000000025</v>
      </c>
      <c r="J422" s="141">
        <f t="shared" si="115"/>
        <v>905361.36000000057</v>
      </c>
      <c r="K422" s="141">
        <f t="shared" si="115"/>
        <v>925113.62999999989</v>
      </c>
      <c r="L422" s="141">
        <f t="shared" ref="L422:W422" si="116">L419+L421-L373</f>
        <v>623796.92000000004</v>
      </c>
      <c r="M422" s="141">
        <f t="shared" si="116"/>
        <v>186807.64000000039</v>
      </c>
      <c r="N422" s="141">
        <f t="shared" si="116"/>
        <v>813464.17999999993</v>
      </c>
      <c r="O422" s="141">
        <f t="shared" si="116"/>
        <v>1371450.9699999993</v>
      </c>
      <c r="P422" s="141">
        <f t="shared" si="116"/>
        <v>71189.630000000034</v>
      </c>
      <c r="Q422" s="39">
        <f t="shared" si="116"/>
        <v>5471711.5699999994</v>
      </c>
      <c r="R422" s="38">
        <f t="shared" si="116"/>
        <v>550757.0199999999</v>
      </c>
      <c r="S422" s="38"/>
      <c r="T422" s="38"/>
      <c r="U422" s="38"/>
      <c r="V422" s="38"/>
      <c r="W422" s="140">
        <f t="shared" si="116"/>
        <v>10903336.749999998</v>
      </c>
      <c r="X422" s="41">
        <f>W421+X419</f>
        <v>252434716.02999985</v>
      </c>
    </row>
    <row r="423" spans="1:25" ht="12.75" x14ac:dyDescent="0.2">
      <c r="A423" s="85"/>
      <c r="B423" s="44"/>
      <c r="C423" s="44"/>
      <c r="D423" s="44"/>
      <c r="E423" s="44"/>
      <c r="F423" s="44"/>
      <c r="G423" s="45"/>
      <c r="H423" s="44"/>
      <c r="I423" s="44"/>
      <c r="J423" s="44"/>
      <c r="K423" s="44"/>
      <c r="L423" s="44"/>
      <c r="M423" s="44"/>
      <c r="N423" s="44"/>
      <c r="O423" s="44"/>
      <c r="P423" s="44"/>
      <c r="Q423" s="45"/>
      <c r="R423" s="43"/>
      <c r="S423" s="43"/>
      <c r="T423" s="43"/>
      <c r="U423" s="43"/>
      <c r="V423" s="43"/>
      <c r="W423" s="86"/>
      <c r="X423" s="46"/>
      <c r="Y423" s="9"/>
    </row>
    <row r="424" spans="1:25" ht="12.75" x14ac:dyDescent="0.2">
      <c r="A424" s="82" t="s">
        <v>47</v>
      </c>
      <c r="B424" s="38">
        <v>0</v>
      </c>
      <c r="C424" s="38">
        <v>138079.92000000001</v>
      </c>
      <c r="D424" s="38">
        <v>113113.44</v>
      </c>
      <c r="E424" s="38">
        <v>97063.56</v>
      </c>
      <c r="F424" s="38">
        <v>120756.24</v>
      </c>
      <c r="G424" s="39">
        <f>SUM(B424:F424)</f>
        <v>469013.16000000003</v>
      </c>
      <c r="H424" s="38">
        <v>0</v>
      </c>
      <c r="I424" s="38">
        <v>0</v>
      </c>
      <c r="J424" s="38">
        <v>108489.94</v>
      </c>
      <c r="K424" s="38">
        <v>107886.6</v>
      </c>
      <c r="L424" s="38">
        <v>138830.69</v>
      </c>
      <c r="M424" s="38">
        <v>24721.85</v>
      </c>
      <c r="N424" s="38">
        <v>29723.93</v>
      </c>
      <c r="O424" s="38">
        <v>206786.82</v>
      </c>
      <c r="P424" s="38">
        <v>0</v>
      </c>
      <c r="Q424" s="39">
        <f>SUM(H424:P424)</f>
        <v>616439.82999999996</v>
      </c>
      <c r="R424" s="165">
        <v>68778.559999999998</v>
      </c>
      <c r="S424" s="165"/>
      <c r="T424" s="165"/>
      <c r="U424" s="165"/>
      <c r="V424" s="165"/>
      <c r="W424" s="83">
        <f>Q424+G424+R424</f>
        <v>1154231.55</v>
      </c>
      <c r="X424" s="41"/>
    </row>
    <row r="425" spans="1:25" ht="12.75" x14ac:dyDescent="0.2">
      <c r="A425" s="82" t="s">
        <v>42</v>
      </c>
      <c r="B425" s="141">
        <f t="shared" ref="B425:K425" si="117">B422+B424-B376</f>
        <v>5706.6200000000053</v>
      </c>
      <c r="C425" s="141">
        <f t="shared" si="117"/>
        <v>1558482.06</v>
      </c>
      <c r="D425" s="141">
        <f t="shared" si="117"/>
        <v>1517626.6800000002</v>
      </c>
      <c r="E425" s="141">
        <f t="shared" si="117"/>
        <v>542456.00999999978</v>
      </c>
      <c r="F425" s="141">
        <f t="shared" si="117"/>
        <v>1285619.0399999996</v>
      </c>
      <c r="G425" s="39">
        <f t="shared" si="117"/>
        <v>4909890.4100000011</v>
      </c>
      <c r="H425" s="141">
        <f t="shared" si="117"/>
        <v>397217.27999999991</v>
      </c>
      <c r="I425" s="141">
        <f t="shared" si="117"/>
        <v>177309.96000000025</v>
      </c>
      <c r="J425" s="141">
        <f t="shared" si="117"/>
        <v>901086.39000000048</v>
      </c>
      <c r="K425" s="141">
        <f t="shared" si="117"/>
        <v>918358.87999999989</v>
      </c>
      <c r="L425" s="141">
        <f t="shared" ref="L425:W425" si="118">L422+L424-L376</f>
        <v>693300.69000000006</v>
      </c>
      <c r="M425" s="141">
        <f t="shared" si="118"/>
        <v>202175.6800000004</v>
      </c>
      <c r="N425" s="141">
        <f t="shared" si="118"/>
        <v>756032.45</v>
      </c>
      <c r="O425" s="141">
        <f t="shared" si="118"/>
        <v>1392315.7799999993</v>
      </c>
      <c r="P425" s="141">
        <f t="shared" si="118"/>
        <v>71189.630000000034</v>
      </c>
      <c r="Q425" s="39">
        <f t="shared" si="118"/>
        <v>5508986.7399999993</v>
      </c>
      <c r="R425" s="38">
        <f t="shared" si="118"/>
        <v>571758.24999999988</v>
      </c>
      <c r="S425" s="38"/>
      <c r="T425" s="38"/>
      <c r="U425" s="38"/>
      <c r="V425" s="38"/>
      <c r="W425" s="140">
        <f t="shared" si="118"/>
        <v>10990635.399999999</v>
      </c>
      <c r="X425" s="41">
        <f>W424+X422</f>
        <v>253588947.57999986</v>
      </c>
    </row>
    <row r="426" spans="1:25" ht="12.75" x14ac:dyDescent="0.2">
      <c r="A426" s="85"/>
      <c r="B426" s="43"/>
      <c r="C426" s="43"/>
      <c r="D426" s="43"/>
      <c r="E426" s="43"/>
      <c r="F426" s="43"/>
      <c r="G426" s="47"/>
      <c r="H426" s="43"/>
      <c r="I426" s="43"/>
      <c r="J426" s="43"/>
      <c r="K426" s="43"/>
      <c r="L426" s="43"/>
      <c r="M426" s="43"/>
      <c r="N426" s="43"/>
      <c r="O426" s="43"/>
      <c r="P426" s="43"/>
      <c r="Q426" s="47"/>
      <c r="R426" s="43"/>
      <c r="S426" s="43"/>
      <c r="T426" s="43"/>
      <c r="U426" s="43"/>
      <c r="V426" s="43"/>
      <c r="W426" s="87"/>
      <c r="X426" s="46"/>
      <c r="Y426" s="9"/>
    </row>
    <row r="427" spans="1:25" ht="12.75" x14ac:dyDescent="0.2">
      <c r="A427" s="82" t="s">
        <v>48</v>
      </c>
      <c r="B427" s="38">
        <v>0</v>
      </c>
      <c r="C427" s="38">
        <v>141646.56</v>
      </c>
      <c r="D427" s="38">
        <v>164065.44</v>
      </c>
      <c r="E427" s="38">
        <v>151709.57999999999</v>
      </c>
      <c r="F427" s="38">
        <v>128399.03999999999</v>
      </c>
      <c r="G427" s="39">
        <f>SUM(B427:F427)</f>
        <v>585820.62</v>
      </c>
      <c r="H427" s="38">
        <v>0</v>
      </c>
      <c r="I427" s="38">
        <v>0</v>
      </c>
      <c r="J427" s="38">
        <v>93268.13</v>
      </c>
      <c r="K427" s="38">
        <v>97791.14</v>
      </c>
      <c r="L427" s="38">
        <v>146169.68</v>
      </c>
      <c r="M427" s="38">
        <v>36988.19</v>
      </c>
      <c r="N427" s="38">
        <v>67961.87</v>
      </c>
      <c r="O427" s="38">
        <v>209556.73</v>
      </c>
      <c r="P427" s="38">
        <v>59447.29</v>
      </c>
      <c r="Q427" s="39">
        <f>SUM(H427:P427)-2.48</f>
        <v>711180.55</v>
      </c>
      <c r="R427" s="165">
        <v>201515.49</v>
      </c>
      <c r="S427" s="165"/>
      <c r="T427" s="165"/>
      <c r="U427" s="165"/>
      <c r="V427" s="165"/>
      <c r="W427" s="83">
        <f>Q427+G427+R427</f>
        <v>1498516.66</v>
      </c>
      <c r="X427" s="197" t="s">
        <v>83</v>
      </c>
    </row>
    <row r="428" spans="1:25" ht="12.75" x14ac:dyDescent="0.2">
      <c r="A428" s="82" t="s">
        <v>42</v>
      </c>
      <c r="B428" s="141">
        <f t="shared" ref="B428:K428" si="119">B425+B427-B379</f>
        <v>5706.6200000000053</v>
      </c>
      <c r="C428" s="141">
        <f t="shared" si="119"/>
        <v>1562842.56</v>
      </c>
      <c r="D428" s="141">
        <f t="shared" si="119"/>
        <v>1515543.36</v>
      </c>
      <c r="E428" s="141">
        <f t="shared" si="119"/>
        <v>593271.62999999977</v>
      </c>
      <c r="F428" s="141">
        <f t="shared" si="119"/>
        <v>1289281.0199999996</v>
      </c>
      <c r="G428" s="39">
        <f t="shared" si="119"/>
        <v>4966645.1900000013</v>
      </c>
      <c r="H428" s="141">
        <f t="shared" si="119"/>
        <v>288422.7099999999</v>
      </c>
      <c r="I428" s="141">
        <f t="shared" si="119"/>
        <v>120618.34000000026</v>
      </c>
      <c r="J428" s="141">
        <f t="shared" si="119"/>
        <v>893543.87000000046</v>
      </c>
      <c r="K428" s="141">
        <f t="shared" si="119"/>
        <v>911899.05999999994</v>
      </c>
      <c r="L428" s="141">
        <f t="shared" ref="L428:W428" si="120">L425+L427-L379</f>
        <v>779865.66000000015</v>
      </c>
      <c r="M428" s="141">
        <f t="shared" si="120"/>
        <v>186086.47000000041</v>
      </c>
      <c r="N428" s="141">
        <f t="shared" si="120"/>
        <v>720010.74</v>
      </c>
      <c r="O428" s="141">
        <f t="shared" si="120"/>
        <v>1389300.4299999992</v>
      </c>
      <c r="P428" s="141">
        <f t="shared" si="120"/>
        <v>130636.92000000004</v>
      </c>
      <c r="Q428" s="39">
        <f t="shared" si="120"/>
        <v>5420381.7199999988</v>
      </c>
      <c r="R428" s="38">
        <f t="shared" si="120"/>
        <v>614486.44999999984</v>
      </c>
      <c r="S428" s="38"/>
      <c r="T428" s="38"/>
      <c r="U428" s="38"/>
      <c r="V428" s="38"/>
      <c r="W428" s="140">
        <f t="shared" si="120"/>
        <v>11001513.359999999</v>
      </c>
      <c r="X428" s="41">
        <f>W427+X425</f>
        <v>255087464.23999986</v>
      </c>
    </row>
    <row r="429" spans="1:25" ht="12.75" x14ac:dyDescent="0.2">
      <c r="A429" s="85"/>
      <c r="B429" s="44"/>
      <c r="C429" s="44"/>
      <c r="D429" s="44"/>
      <c r="E429" s="44"/>
      <c r="F429" s="44"/>
      <c r="G429" s="45"/>
      <c r="H429" s="44"/>
      <c r="I429" s="44"/>
      <c r="J429" s="44"/>
      <c r="K429" s="44"/>
      <c r="L429" s="44"/>
      <c r="M429" s="44"/>
      <c r="N429" s="44"/>
      <c r="O429" s="44"/>
      <c r="P429" s="44"/>
      <c r="Q429" s="45"/>
      <c r="R429" s="43"/>
      <c r="S429" s="43"/>
      <c r="T429" s="43"/>
      <c r="U429" s="43"/>
      <c r="V429" s="43"/>
      <c r="W429" s="86"/>
      <c r="X429" s="46"/>
      <c r="Y429" s="9"/>
    </row>
    <row r="430" spans="1:25" ht="12.75" x14ac:dyDescent="0.2">
      <c r="A430" s="82" t="s">
        <v>49</v>
      </c>
      <c r="B430" s="38">
        <v>0</v>
      </c>
      <c r="C430" s="38">
        <v>131965.68</v>
      </c>
      <c r="D430" s="38">
        <v>185465.28</v>
      </c>
      <c r="E430" s="38">
        <v>154002.42000000001</v>
      </c>
      <c r="F430" s="38">
        <v>116170.56</v>
      </c>
      <c r="G430" s="39">
        <f>SUM(B430:F430)</f>
        <v>587603.93999999994</v>
      </c>
      <c r="H430" s="38">
        <v>0</v>
      </c>
      <c r="I430" s="38">
        <v>0</v>
      </c>
      <c r="J430" s="38">
        <v>94250.61</v>
      </c>
      <c r="K430" s="38">
        <v>101112.76</v>
      </c>
      <c r="L430" s="38">
        <v>137247.98000000001</v>
      </c>
      <c r="M430" s="38">
        <v>36618.699999999997</v>
      </c>
      <c r="N430" s="38">
        <v>70051.72</v>
      </c>
      <c r="O430" s="38">
        <v>204216.49</v>
      </c>
      <c r="P430" s="38">
        <v>70612.160000000003</v>
      </c>
      <c r="Q430" s="39">
        <f>SUM(H430:P430)+23.35*0</f>
        <v>714110.42</v>
      </c>
      <c r="R430" s="165">
        <v>172899.35</v>
      </c>
      <c r="S430" s="165"/>
      <c r="T430" s="165"/>
      <c r="U430" s="165"/>
      <c r="V430" s="165"/>
      <c r="W430" s="83">
        <f>Q430+G430+R430</f>
        <v>1474613.71</v>
      </c>
      <c r="X430" s="41"/>
    </row>
    <row r="431" spans="1:25" ht="12.75" x14ac:dyDescent="0.2">
      <c r="A431" s="82" t="s">
        <v>42</v>
      </c>
      <c r="B431" s="141">
        <f t="shared" ref="B431:K431" si="121">B428+B430-B382</f>
        <v>5706.6200000000053</v>
      </c>
      <c r="C431" s="141">
        <f t="shared" si="121"/>
        <v>1557020.22</v>
      </c>
      <c r="D431" s="141">
        <f t="shared" si="121"/>
        <v>1497714.84</v>
      </c>
      <c r="E431" s="141">
        <f t="shared" si="121"/>
        <v>620780.12999999977</v>
      </c>
      <c r="F431" s="141">
        <f t="shared" si="121"/>
        <v>1298283.1199999996</v>
      </c>
      <c r="G431" s="39">
        <f t="shared" si="121"/>
        <v>4979504.9300000006</v>
      </c>
      <c r="H431" s="141">
        <f t="shared" si="121"/>
        <v>100944.34999999992</v>
      </c>
      <c r="I431" s="141">
        <f t="shared" si="121"/>
        <v>17690.510000000257</v>
      </c>
      <c r="J431" s="141">
        <f t="shared" si="121"/>
        <v>882707.14000000048</v>
      </c>
      <c r="K431" s="141">
        <f t="shared" si="121"/>
        <v>905293.64999999991</v>
      </c>
      <c r="L431" s="141">
        <f t="shared" ref="L431:W431" si="122">L428+L430-L382</f>
        <v>805789.26000000013</v>
      </c>
      <c r="M431" s="141">
        <f t="shared" si="122"/>
        <v>178629.29000000039</v>
      </c>
      <c r="N431" s="141">
        <f t="shared" si="122"/>
        <v>699061.03</v>
      </c>
      <c r="O431" s="141">
        <f t="shared" si="122"/>
        <v>1396054.2399999993</v>
      </c>
      <c r="P431" s="141">
        <f t="shared" si="122"/>
        <v>201249.08000000005</v>
      </c>
      <c r="Q431" s="39">
        <f t="shared" si="122"/>
        <v>5187416.0699999984</v>
      </c>
      <c r="R431" s="38">
        <f t="shared" si="122"/>
        <v>669617.08999999985</v>
      </c>
      <c r="S431" s="38"/>
      <c r="T431" s="38"/>
      <c r="U431" s="38"/>
      <c r="V431" s="38"/>
      <c r="W431" s="140">
        <f t="shared" si="122"/>
        <v>10836538.09</v>
      </c>
      <c r="X431" s="41">
        <f>W430+X428</f>
        <v>256562077.94999987</v>
      </c>
    </row>
    <row r="432" spans="1:25" ht="12.75" x14ac:dyDescent="0.2">
      <c r="A432" s="85"/>
      <c r="B432" s="43"/>
      <c r="C432" s="43"/>
      <c r="D432" s="43"/>
      <c r="E432" s="43"/>
      <c r="F432" s="43"/>
      <c r="G432" s="47"/>
      <c r="H432" s="43"/>
      <c r="I432" s="43"/>
      <c r="J432" s="43"/>
      <c r="K432" s="43"/>
      <c r="L432" s="43"/>
      <c r="M432" s="43"/>
      <c r="N432" s="43"/>
      <c r="O432" s="43"/>
      <c r="P432" s="43"/>
      <c r="Q432" s="47"/>
      <c r="R432" s="43"/>
      <c r="S432" s="43"/>
      <c r="T432" s="43"/>
      <c r="U432" s="43"/>
      <c r="V432" s="43"/>
      <c r="W432" s="87"/>
      <c r="X432" s="46"/>
      <c r="Y432" s="9"/>
    </row>
    <row r="433" spans="1:25" ht="12.75" x14ac:dyDescent="0.2">
      <c r="A433" s="82" t="s">
        <v>50</v>
      </c>
      <c r="B433" s="38">
        <v>0</v>
      </c>
      <c r="C433" s="38">
        <v>128653.8</v>
      </c>
      <c r="D433" s="38">
        <v>174255.84</v>
      </c>
      <c r="E433" s="38">
        <v>127252.62</v>
      </c>
      <c r="F433" s="38">
        <v>124577.64</v>
      </c>
      <c r="G433" s="39">
        <f>SUM(B433:F433)</f>
        <v>554739.9</v>
      </c>
      <c r="H433" s="38">
        <v>0</v>
      </c>
      <c r="I433" s="38">
        <v>0</v>
      </c>
      <c r="J433" s="38">
        <v>98376.39</v>
      </c>
      <c r="K433" s="38">
        <v>103403.96</v>
      </c>
      <c r="L433" s="38">
        <v>166812.29999999999</v>
      </c>
      <c r="M433" s="38">
        <v>32300.98</v>
      </c>
      <c r="N433" s="38">
        <v>59704.12</v>
      </c>
      <c r="O433" s="38">
        <v>190893.59</v>
      </c>
      <c r="P433" s="38">
        <v>67922.97</v>
      </c>
      <c r="Q433" s="39">
        <f>SUM(H433:P433)</f>
        <v>719414.30999999994</v>
      </c>
      <c r="R433" s="165">
        <v>173828.47</v>
      </c>
      <c r="S433" s="165"/>
      <c r="T433" s="165"/>
      <c r="U433" s="165"/>
      <c r="V433" s="165"/>
      <c r="W433" s="83">
        <f>Q433+G433+R433</f>
        <v>1447982.68</v>
      </c>
      <c r="X433" s="197"/>
    </row>
    <row r="434" spans="1:25" ht="12.75" x14ac:dyDescent="0.2">
      <c r="A434" s="82" t="s">
        <v>42</v>
      </c>
      <c r="B434" s="141">
        <f t="shared" ref="B434:K434" si="123">B431+B433-B385</f>
        <v>5706.6200000000053</v>
      </c>
      <c r="C434" s="141">
        <f t="shared" si="123"/>
        <v>1555917.36</v>
      </c>
      <c r="D434" s="141">
        <f t="shared" si="123"/>
        <v>1557021.84</v>
      </c>
      <c r="E434" s="141">
        <f t="shared" si="123"/>
        <v>659562.29999999981</v>
      </c>
      <c r="F434" s="141">
        <f t="shared" si="123"/>
        <v>1313684.4599999995</v>
      </c>
      <c r="G434" s="39">
        <f t="shared" si="123"/>
        <v>5091892.580000001</v>
      </c>
      <c r="H434" s="141">
        <f t="shared" si="123"/>
        <v>64320.769999999917</v>
      </c>
      <c r="I434" s="141">
        <f t="shared" si="123"/>
        <v>2.5829649530351162E-10</v>
      </c>
      <c r="J434" s="141">
        <f t="shared" si="123"/>
        <v>878515.56000000052</v>
      </c>
      <c r="K434" s="141">
        <f t="shared" si="123"/>
        <v>902876.02999999991</v>
      </c>
      <c r="L434" s="141">
        <f t="shared" ref="L434:W434" si="124">L431+L433-L385</f>
        <v>863458.99</v>
      </c>
      <c r="M434" s="141">
        <f t="shared" si="124"/>
        <v>169733.0500000004</v>
      </c>
      <c r="N434" s="141">
        <f t="shared" si="124"/>
        <v>657120.28</v>
      </c>
      <c r="O434" s="141">
        <f t="shared" si="124"/>
        <v>1392779.9299999995</v>
      </c>
      <c r="P434" s="141">
        <f t="shared" si="124"/>
        <v>269172.05000000005</v>
      </c>
      <c r="Q434" s="39">
        <f t="shared" si="124"/>
        <v>5197974.1799999978</v>
      </c>
      <c r="R434" s="38">
        <f t="shared" si="124"/>
        <v>740153.6599999998</v>
      </c>
      <c r="S434" s="38"/>
      <c r="T434" s="38"/>
      <c r="U434" s="38"/>
      <c r="V434" s="38"/>
      <c r="W434" s="140">
        <f t="shared" si="124"/>
        <v>11030020.42</v>
      </c>
      <c r="X434" s="41">
        <f>W433+X431</f>
        <v>258010060.62999988</v>
      </c>
    </row>
    <row r="435" spans="1:25" ht="12.75" x14ac:dyDescent="0.2">
      <c r="A435" s="85"/>
      <c r="B435" s="43"/>
      <c r="C435" s="43"/>
      <c r="D435" s="43"/>
      <c r="E435" s="43"/>
      <c r="F435" s="43"/>
      <c r="G435" s="47"/>
      <c r="H435" s="43"/>
      <c r="I435" s="43"/>
      <c r="J435" s="43"/>
      <c r="K435" s="43"/>
      <c r="L435" s="43"/>
      <c r="M435" s="43"/>
      <c r="N435" s="43"/>
      <c r="O435" s="43"/>
      <c r="P435" s="43"/>
      <c r="Q435" s="47"/>
      <c r="R435" s="43"/>
      <c r="S435" s="43"/>
      <c r="T435" s="43"/>
      <c r="U435" s="43"/>
      <c r="V435" s="43"/>
      <c r="W435" s="87"/>
      <c r="X435" s="46"/>
      <c r="Y435" s="9"/>
    </row>
    <row r="436" spans="1:25" ht="12.75" x14ac:dyDescent="0.2">
      <c r="A436" s="82" t="s">
        <v>51</v>
      </c>
      <c r="B436" s="38">
        <v>17119.87</v>
      </c>
      <c r="C436" s="38">
        <v>122359.47</v>
      </c>
      <c r="D436" s="38">
        <v>223731.24</v>
      </c>
      <c r="E436" s="38">
        <v>116253.71</v>
      </c>
      <c r="F436" s="38">
        <v>81568.78</v>
      </c>
      <c r="G436" s="39">
        <f>SUM(B436:F436)</f>
        <v>561033.06999999995</v>
      </c>
      <c r="H436" s="38">
        <v>104447.82</v>
      </c>
      <c r="I436" s="38">
        <v>59247.21</v>
      </c>
      <c r="J436" s="38">
        <v>58345.51</v>
      </c>
      <c r="K436" s="38">
        <v>58290.82</v>
      </c>
      <c r="L436" s="38">
        <v>132102.29</v>
      </c>
      <c r="M436" s="38">
        <v>24792.41</v>
      </c>
      <c r="N436" s="38">
        <v>43344.44</v>
      </c>
      <c r="O436" s="38">
        <v>81756.13</v>
      </c>
      <c r="P436" s="38">
        <v>17266.009999999998</v>
      </c>
      <c r="Q436" s="39">
        <f>SUM(H436:P436)</f>
        <v>579592.64</v>
      </c>
      <c r="R436" s="165">
        <v>178243.27</v>
      </c>
      <c r="S436" s="165"/>
      <c r="T436" s="165"/>
      <c r="U436" s="165"/>
      <c r="V436" s="165"/>
      <c r="W436" s="83">
        <f>Q436+G436+R436</f>
        <v>1318868.98</v>
      </c>
      <c r="X436" s="41"/>
    </row>
    <row r="437" spans="1:25" ht="12.75" x14ac:dyDescent="0.2">
      <c r="A437" s="82" t="s">
        <v>42</v>
      </c>
      <c r="B437" s="141">
        <f t="shared" ref="B437:K437" si="125">B434+B436-B388</f>
        <v>22826.490000000005</v>
      </c>
      <c r="C437" s="141">
        <f t="shared" si="125"/>
        <v>1573116.21</v>
      </c>
      <c r="D437" s="141">
        <f t="shared" si="125"/>
        <v>1629161.1600000001</v>
      </c>
      <c r="E437" s="141">
        <f t="shared" si="125"/>
        <v>775063.06999999983</v>
      </c>
      <c r="F437" s="141">
        <f t="shared" si="125"/>
        <v>1301386.7199999995</v>
      </c>
      <c r="G437" s="39">
        <f t="shared" si="125"/>
        <v>5301553.6500000013</v>
      </c>
      <c r="H437" s="141">
        <f t="shared" si="125"/>
        <v>132657.7999999999</v>
      </c>
      <c r="I437" s="141">
        <f t="shared" si="125"/>
        <v>59247.210000000254</v>
      </c>
      <c r="J437" s="141">
        <f t="shared" si="125"/>
        <v>885064.52000000048</v>
      </c>
      <c r="K437" s="141">
        <f t="shared" si="125"/>
        <v>905056.71999999986</v>
      </c>
      <c r="L437" s="141">
        <f t="shared" ref="L437:W437" si="126">L434+L436-L388</f>
        <v>917081.68</v>
      </c>
      <c r="M437" s="141">
        <f t="shared" si="126"/>
        <v>170210.44000000041</v>
      </c>
      <c r="N437" s="141">
        <f t="shared" si="126"/>
        <v>627120.96</v>
      </c>
      <c r="O437" s="141">
        <f t="shared" si="126"/>
        <v>1353974.3399999996</v>
      </c>
      <c r="P437" s="141">
        <f t="shared" si="126"/>
        <v>215248.43000000005</v>
      </c>
      <c r="Q437" s="39">
        <f t="shared" si="126"/>
        <v>5265659.6199999973</v>
      </c>
      <c r="R437" s="38">
        <f t="shared" si="126"/>
        <v>918396.92999999982</v>
      </c>
      <c r="S437" s="38"/>
      <c r="T437" s="38"/>
      <c r="U437" s="38"/>
      <c r="V437" s="38"/>
      <c r="W437" s="140">
        <f t="shared" si="126"/>
        <v>11485610.200000001</v>
      </c>
      <c r="X437" s="41">
        <f>W436+X434</f>
        <v>259328929.60999987</v>
      </c>
    </row>
    <row r="438" spans="1:25" ht="12.75" x14ac:dyDescent="0.2">
      <c r="A438" s="85"/>
      <c r="B438" s="44"/>
      <c r="C438" s="44"/>
      <c r="D438" s="44"/>
      <c r="E438" s="44"/>
      <c r="F438" s="44"/>
      <c r="G438" s="45"/>
      <c r="H438" s="44"/>
      <c r="I438" s="44"/>
      <c r="J438" s="44"/>
      <c r="K438" s="44"/>
      <c r="L438" s="44"/>
      <c r="M438" s="44"/>
      <c r="N438" s="44"/>
      <c r="O438" s="44"/>
      <c r="P438" s="44"/>
      <c r="Q438" s="45"/>
      <c r="R438" s="43"/>
      <c r="S438" s="43"/>
      <c r="T438" s="43"/>
      <c r="U438" s="43"/>
      <c r="V438" s="43"/>
      <c r="W438" s="86"/>
      <c r="X438" s="46"/>
      <c r="Y438" s="9"/>
    </row>
    <row r="439" spans="1:25" ht="12.75" x14ac:dyDescent="0.2">
      <c r="A439" s="82" t="s">
        <v>52</v>
      </c>
      <c r="B439" s="38">
        <v>13451.33</v>
      </c>
      <c r="C439" s="38">
        <v>120246.72</v>
      </c>
      <c r="D439" s="38">
        <v>218584.08</v>
      </c>
      <c r="E439" s="38">
        <v>47767.5</v>
      </c>
      <c r="F439" s="38">
        <v>119737.2</v>
      </c>
      <c r="G439" s="39">
        <f>SUM(B439:F439)</f>
        <v>519786.83</v>
      </c>
      <c r="H439" s="38">
        <v>74031.87</v>
      </c>
      <c r="I439" s="38">
        <v>31119.7</v>
      </c>
      <c r="J439" s="38">
        <v>65389.279999999999</v>
      </c>
      <c r="K439" s="38">
        <v>65139.519999999997</v>
      </c>
      <c r="L439" s="38">
        <v>35086.82</v>
      </c>
      <c r="M439" s="38">
        <v>19200.419999999998</v>
      </c>
      <c r="N439" s="38">
        <v>50202.36</v>
      </c>
      <c r="O439" s="38">
        <v>112689.08</v>
      </c>
      <c r="P439" s="38">
        <v>0</v>
      </c>
      <c r="Q439" s="39">
        <f>SUM(H439:P439)</f>
        <v>452859.04999999993</v>
      </c>
      <c r="R439" s="165">
        <v>196695.33</v>
      </c>
      <c r="S439" s="165"/>
      <c r="T439" s="165"/>
      <c r="U439" s="165"/>
      <c r="V439" s="165"/>
      <c r="W439" s="83">
        <f>Q439+G439+R439</f>
        <v>1169341.21</v>
      </c>
      <c r="X439" s="41"/>
    </row>
    <row r="440" spans="1:25" ht="12.75" x14ac:dyDescent="0.2">
      <c r="A440" s="82" t="s">
        <v>42</v>
      </c>
      <c r="B440" s="141">
        <f t="shared" ref="B440:K440" si="127">B437+B439-B391</f>
        <v>36277.820000000007</v>
      </c>
      <c r="C440" s="141">
        <f t="shared" si="127"/>
        <v>1584186.63</v>
      </c>
      <c r="D440" s="141">
        <f t="shared" si="127"/>
        <v>1752874.8000000003</v>
      </c>
      <c r="E440" s="141">
        <f t="shared" si="127"/>
        <v>822830.56999999983</v>
      </c>
      <c r="F440" s="141">
        <f t="shared" si="127"/>
        <v>1306677.0399999996</v>
      </c>
      <c r="G440" s="39">
        <f t="shared" si="127"/>
        <v>5502846.8600000013</v>
      </c>
      <c r="H440" s="141">
        <f t="shared" si="127"/>
        <v>206689.6699999999</v>
      </c>
      <c r="I440" s="141">
        <f t="shared" si="127"/>
        <v>90366.910000000251</v>
      </c>
      <c r="J440" s="141">
        <f t="shared" si="127"/>
        <v>886362.14000000048</v>
      </c>
      <c r="K440" s="141">
        <f t="shared" si="127"/>
        <v>904542.64999999991</v>
      </c>
      <c r="L440" s="141">
        <f t="shared" ref="L440:W440" si="128">L437+L439-L391</f>
        <v>952168.5</v>
      </c>
      <c r="M440" s="141">
        <f t="shared" si="128"/>
        <v>182057.6200000004</v>
      </c>
      <c r="N440" s="141">
        <f t="shared" si="128"/>
        <v>608905.54999999993</v>
      </c>
      <c r="O440" s="141">
        <f t="shared" si="128"/>
        <v>1373369.4199999997</v>
      </c>
      <c r="P440" s="141">
        <f t="shared" si="128"/>
        <v>215248.43000000005</v>
      </c>
      <c r="Q440" s="39">
        <f t="shared" si="128"/>
        <v>5419708.4099999974</v>
      </c>
      <c r="R440" s="38">
        <f t="shared" si="128"/>
        <v>1115092.2599999998</v>
      </c>
      <c r="S440" s="38"/>
      <c r="T440" s="38"/>
      <c r="U440" s="38"/>
      <c r="V440" s="38"/>
      <c r="W440" s="140">
        <f t="shared" si="128"/>
        <v>12037647.529999999</v>
      </c>
      <c r="X440" s="41">
        <f>W439+X437</f>
        <v>260498270.81999987</v>
      </c>
    </row>
    <row r="441" spans="1:25" ht="12.75" x14ac:dyDescent="0.2">
      <c r="A441" s="85"/>
      <c r="B441" s="43"/>
      <c r="C441" s="43"/>
      <c r="D441" s="43"/>
      <c r="E441" s="43"/>
      <c r="F441" s="43"/>
      <c r="G441" s="47"/>
      <c r="H441" s="43"/>
      <c r="I441" s="43"/>
      <c r="J441" s="43"/>
      <c r="K441" s="43"/>
      <c r="L441" s="43"/>
      <c r="M441" s="43"/>
      <c r="N441" s="43"/>
      <c r="O441" s="43"/>
      <c r="P441" s="43"/>
      <c r="Q441" s="47"/>
      <c r="R441" s="43"/>
      <c r="S441" s="43"/>
      <c r="T441" s="43"/>
      <c r="U441" s="43"/>
      <c r="V441" s="43"/>
      <c r="W441" s="87"/>
      <c r="X441" s="46"/>
      <c r="Y441" s="9"/>
    </row>
    <row r="442" spans="1:25" ht="12.75" x14ac:dyDescent="0.2">
      <c r="A442" s="82" t="s">
        <v>53</v>
      </c>
      <c r="B442" s="38">
        <v>4483.78</v>
      </c>
      <c r="C442" s="38">
        <v>131965.68</v>
      </c>
      <c r="D442" s="38">
        <v>213998.4</v>
      </c>
      <c r="E442" s="38">
        <v>139098.96</v>
      </c>
      <c r="F442" s="38">
        <v>125087.16</v>
      </c>
      <c r="G442" s="39">
        <f>SUM(B442:F442)</f>
        <v>614633.98</v>
      </c>
      <c r="H442" s="38">
        <v>94137.06</v>
      </c>
      <c r="I442" s="38">
        <v>0</v>
      </c>
      <c r="J442" s="38">
        <v>70787.59</v>
      </c>
      <c r="K442" s="38">
        <v>70465.73</v>
      </c>
      <c r="L442" s="38">
        <v>76010.559999999998</v>
      </c>
      <c r="M442" s="38">
        <v>11532.27</v>
      </c>
      <c r="N442" s="38">
        <v>59504.84</v>
      </c>
      <c r="O442" s="38">
        <v>121772.65</v>
      </c>
      <c r="P442" s="38">
        <v>0</v>
      </c>
      <c r="Q442" s="39">
        <f>SUM(H442:P442)</f>
        <v>504210.70000000007</v>
      </c>
      <c r="R442" s="165">
        <v>177684.53</v>
      </c>
      <c r="S442" s="165"/>
      <c r="T442" s="165"/>
      <c r="U442" s="165"/>
      <c r="V442" s="165"/>
      <c r="W442" s="83">
        <f>Q442+G442+R442</f>
        <v>1296529.2100000002</v>
      </c>
      <c r="X442" s="41"/>
    </row>
    <row r="443" spans="1:25" ht="13.5" thickBot="1" x14ac:dyDescent="0.25">
      <c r="A443" s="88" t="s">
        <v>42</v>
      </c>
      <c r="B443" s="143">
        <f t="shared" ref="B443:K443" si="129">B440+B442-B394</f>
        <v>40761.600000000006</v>
      </c>
      <c r="C443" s="143">
        <f t="shared" si="129"/>
        <v>1598693.67</v>
      </c>
      <c r="D443" s="143">
        <f t="shared" si="129"/>
        <v>1904128.2000000002</v>
      </c>
      <c r="E443" s="143">
        <f t="shared" si="129"/>
        <v>961929.5299999998</v>
      </c>
      <c r="F443" s="143">
        <f t="shared" si="129"/>
        <v>1328109.4599999995</v>
      </c>
      <c r="G443" s="50">
        <f t="shared" si="129"/>
        <v>5833622.4600000018</v>
      </c>
      <c r="H443" s="143">
        <f t="shared" si="129"/>
        <v>300826.72999999986</v>
      </c>
      <c r="I443" s="143">
        <f t="shared" si="129"/>
        <v>90366.910000000251</v>
      </c>
      <c r="J443" s="143">
        <f t="shared" si="129"/>
        <v>899946.1800000004</v>
      </c>
      <c r="K443" s="143">
        <f t="shared" si="129"/>
        <v>909269.90999999992</v>
      </c>
      <c r="L443" s="198">
        <f t="shared" ref="L443:W443" si="130">L440+L442-L394</f>
        <v>1028179.06</v>
      </c>
      <c r="M443" s="143">
        <f t="shared" si="130"/>
        <v>193589.89000000039</v>
      </c>
      <c r="N443" s="143">
        <f t="shared" si="130"/>
        <v>602568.2699999999</v>
      </c>
      <c r="O443" s="143">
        <f t="shared" si="130"/>
        <v>1380086.6399999997</v>
      </c>
      <c r="P443" s="143">
        <f t="shared" si="130"/>
        <v>215248.43000000005</v>
      </c>
      <c r="Q443" s="50">
        <f t="shared" si="130"/>
        <v>5620079.5399999972</v>
      </c>
      <c r="R443" s="49">
        <f t="shared" si="130"/>
        <v>1292776.7899999998</v>
      </c>
      <c r="S443" s="49"/>
      <c r="T443" s="49"/>
      <c r="U443" s="49"/>
      <c r="V443" s="49"/>
      <c r="W443" s="144">
        <f t="shared" si="130"/>
        <v>12746478.790000001</v>
      </c>
      <c r="X443" s="51">
        <f>W442+X440</f>
        <v>261794800.02999988</v>
      </c>
    </row>
    <row r="444" spans="1:25" ht="12.75" x14ac:dyDescent="0.2">
      <c r="A444" s="92"/>
      <c r="B444" s="1" t="s">
        <v>84</v>
      </c>
      <c r="C444" s="90"/>
      <c r="D444" s="90"/>
      <c r="E444" s="90"/>
      <c r="F444" s="90"/>
      <c r="G444" s="90"/>
      <c r="I444" s="90"/>
      <c r="J444" s="90"/>
      <c r="K444" s="90"/>
      <c r="L444" s="90"/>
      <c r="M444" s="90"/>
      <c r="N444" s="90"/>
      <c r="O444" s="171"/>
      <c r="P444" s="90"/>
      <c r="Q444" s="90"/>
      <c r="R444" s="52" t="s">
        <v>85</v>
      </c>
      <c r="S444" s="52"/>
      <c r="T444" s="52"/>
      <c r="U444" s="52"/>
      <c r="V444" s="52"/>
      <c r="W444" s="90"/>
      <c r="X444" s="91"/>
    </row>
    <row r="445" spans="1:25" x14ac:dyDescent="0.2">
      <c r="B445" s="137"/>
      <c r="R445" s="1" t="s">
        <v>86</v>
      </c>
      <c r="X445" s="9"/>
    </row>
    <row r="446" spans="1:25" x14ac:dyDescent="0.2">
      <c r="B446" s="137"/>
      <c r="X446" s="9"/>
    </row>
    <row r="447" spans="1:25" x14ac:dyDescent="0.2">
      <c r="X447" s="9"/>
    </row>
    <row r="448" spans="1:25" ht="27" x14ac:dyDescent="0.35">
      <c r="A448" s="133" t="s">
        <v>87</v>
      </c>
      <c r="B448" s="54"/>
      <c r="C448" s="122"/>
      <c r="D448" s="58"/>
      <c r="E448" s="127"/>
      <c r="F448" s="128"/>
      <c r="G448" s="127"/>
      <c r="H448" s="129"/>
      <c r="I448" s="130"/>
      <c r="J448" s="130"/>
      <c r="K448" s="130"/>
      <c r="L448" s="130"/>
      <c r="M448" s="130"/>
      <c r="N448" s="130"/>
      <c r="O448" s="130"/>
      <c r="P448" s="130"/>
      <c r="Q448" s="130"/>
      <c r="R448" s="128"/>
      <c r="S448" s="128"/>
      <c r="T448" s="128"/>
      <c r="U448" s="128"/>
      <c r="V448" s="128"/>
      <c r="W448" s="130"/>
      <c r="X448" s="131"/>
    </row>
    <row r="449" spans="1:25" ht="15.75" x14ac:dyDescent="0.25">
      <c r="A449" s="136"/>
      <c r="B449" s="170"/>
      <c r="C449" s="54"/>
      <c r="D449" s="53"/>
      <c r="E449" s="53"/>
      <c r="F449" s="132"/>
      <c r="G449" s="55"/>
      <c r="H449" s="55"/>
      <c r="I449" s="55"/>
      <c r="J449" s="54"/>
      <c r="K449" s="56"/>
      <c r="L449" s="57"/>
      <c r="M449" s="54"/>
      <c r="N449" s="54" t="s">
        <v>60</v>
      </c>
      <c r="O449" s="54"/>
      <c r="P449" s="54"/>
      <c r="Q449" s="57"/>
      <c r="R449" s="58"/>
      <c r="S449" s="58"/>
      <c r="T449" s="58"/>
      <c r="U449" s="58"/>
      <c r="V449" s="58"/>
      <c r="W449" s="54"/>
      <c r="X449" s="54"/>
    </row>
    <row r="450" spans="1:25" ht="27" x14ac:dyDescent="0.35">
      <c r="A450" s="134" t="s">
        <v>6</v>
      </c>
      <c r="B450" s="122"/>
      <c r="C450" s="122"/>
      <c r="D450" s="122"/>
      <c r="E450" s="122"/>
      <c r="F450" s="122"/>
      <c r="G450" s="122"/>
      <c r="H450" s="122"/>
      <c r="I450" s="122"/>
      <c r="J450" s="122"/>
      <c r="K450" s="122"/>
      <c r="L450" s="122"/>
      <c r="M450" s="122"/>
      <c r="N450" s="122"/>
      <c r="O450" s="122"/>
      <c r="P450" s="122"/>
      <c r="Q450" s="122"/>
      <c r="R450" s="122"/>
      <c r="S450" s="122"/>
      <c r="T450" s="122"/>
      <c r="U450" s="122"/>
      <c r="V450" s="122"/>
      <c r="W450" s="142"/>
      <c r="X450" s="122"/>
    </row>
    <row r="451" spans="1:25" ht="12" thickBot="1" x14ac:dyDescent="0.25">
      <c r="B451" s="2"/>
      <c r="C451" s="2"/>
      <c r="D451" s="2"/>
      <c r="E451" s="2"/>
      <c r="F451" s="59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 t="s">
        <v>60</v>
      </c>
      <c r="W451" s="2"/>
      <c r="X451" s="57"/>
    </row>
    <row r="452" spans="1:25" x14ac:dyDescent="0.2">
      <c r="A452" s="14"/>
      <c r="B452" s="15"/>
      <c r="C452" s="15"/>
      <c r="D452" s="15"/>
      <c r="E452" s="15"/>
      <c r="F452" s="15"/>
      <c r="G452" s="15"/>
      <c r="H452" s="15"/>
      <c r="I452" s="15"/>
      <c r="J452" s="15"/>
      <c r="K452" s="15"/>
      <c r="L452" s="15"/>
      <c r="M452" s="15"/>
      <c r="N452" s="15"/>
      <c r="O452" s="15"/>
      <c r="P452" s="15"/>
      <c r="Q452" s="15"/>
      <c r="R452" s="16"/>
      <c r="S452" s="16"/>
      <c r="T452" s="16"/>
      <c r="U452" s="16"/>
      <c r="V452" s="16"/>
      <c r="W452" s="15"/>
      <c r="X452" s="60" t="s">
        <v>60</v>
      </c>
    </row>
    <row r="453" spans="1:25" ht="13.5" thickBot="1" x14ac:dyDescent="0.25">
      <c r="A453" s="18"/>
      <c r="B453" s="61"/>
      <c r="C453" s="62"/>
      <c r="D453" s="63" t="s">
        <v>73</v>
      </c>
      <c r="E453" s="64"/>
      <c r="F453" s="64"/>
      <c r="G453" s="64"/>
      <c r="H453" s="61"/>
      <c r="I453" s="64"/>
      <c r="J453" s="64"/>
      <c r="K453" s="65" t="s">
        <v>74</v>
      </c>
      <c r="L453" s="64"/>
      <c r="M453" s="64"/>
      <c r="N453" s="64"/>
      <c r="O453" s="64"/>
      <c r="P453" s="64"/>
      <c r="Q453" s="138"/>
      <c r="R453" s="64"/>
      <c r="S453" s="64"/>
      <c r="T453" s="64"/>
      <c r="U453" s="64"/>
      <c r="V453" s="64"/>
      <c r="W453" s="66"/>
      <c r="X453" s="36" t="s">
        <v>60</v>
      </c>
    </row>
    <row r="454" spans="1:25" ht="12" x14ac:dyDescent="0.2">
      <c r="A454" s="67"/>
      <c r="B454" s="68" t="s">
        <v>11</v>
      </c>
      <c r="C454" s="68" t="s">
        <v>12</v>
      </c>
      <c r="D454" s="68" t="s">
        <v>13</v>
      </c>
      <c r="E454" s="68" t="s">
        <v>14</v>
      </c>
      <c r="F454" s="68" t="s">
        <v>15</v>
      </c>
      <c r="G454" s="69" t="s">
        <v>16</v>
      </c>
      <c r="H454" s="68" t="s">
        <v>17</v>
      </c>
      <c r="I454" s="70"/>
      <c r="J454" s="70"/>
      <c r="K454" s="70"/>
      <c r="L454" s="70"/>
      <c r="M454" s="68" t="s">
        <v>18</v>
      </c>
      <c r="N454" s="68" t="s">
        <v>19</v>
      </c>
      <c r="O454" s="68" t="s">
        <v>20</v>
      </c>
      <c r="P454" s="68" t="s">
        <v>21</v>
      </c>
      <c r="Q454" s="69" t="s">
        <v>16</v>
      </c>
      <c r="R454" s="71" t="s">
        <v>69</v>
      </c>
      <c r="S454" s="71"/>
      <c r="T454" s="71"/>
      <c r="U454" s="71"/>
      <c r="V454" s="71"/>
      <c r="W454" s="72" t="s">
        <v>7</v>
      </c>
      <c r="X454" s="73" t="s">
        <v>70</v>
      </c>
    </row>
    <row r="455" spans="1:25" ht="12.75" thickBot="1" x14ac:dyDescent="0.25">
      <c r="A455" s="75"/>
      <c r="B455" s="76" t="s">
        <v>23</v>
      </c>
      <c r="C455" s="76" t="s">
        <v>24</v>
      </c>
      <c r="D455" s="76" t="s">
        <v>25</v>
      </c>
      <c r="E455" s="76" t="s">
        <v>26</v>
      </c>
      <c r="F455" s="76" t="s">
        <v>27</v>
      </c>
      <c r="G455" s="77" t="s">
        <v>28</v>
      </c>
      <c r="H455" s="76" t="s">
        <v>29</v>
      </c>
      <c r="I455" s="76" t="s">
        <v>30</v>
      </c>
      <c r="J455" s="76" t="s">
        <v>31</v>
      </c>
      <c r="K455" s="76" t="s">
        <v>32</v>
      </c>
      <c r="L455" s="76" t="s">
        <v>33</v>
      </c>
      <c r="M455" s="76" t="s">
        <v>34</v>
      </c>
      <c r="N455" s="76" t="s">
        <v>35</v>
      </c>
      <c r="O455" s="76" t="s">
        <v>36</v>
      </c>
      <c r="P455" s="76" t="s">
        <v>37</v>
      </c>
      <c r="Q455" s="77" t="s">
        <v>28</v>
      </c>
      <c r="R455" s="78" t="s">
        <v>82</v>
      </c>
      <c r="S455" s="78"/>
      <c r="T455" s="78"/>
      <c r="U455" s="78"/>
      <c r="V455" s="78"/>
      <c r="W455" s="79" t="s">
        <v>10</v>
      </c>
      <c r="X455" s="80" t="s">
        <v>71</v>
      </c>
    </row>
    <row r="456" spans="1:25" x14ac:dyDescent="0.2">
      <c r="A456" s="18"/>
      <c r="B456" s="33"/>
      <c r="C456" s="33"/>
      <c r="D456" s="33"/>
      <c r="E456" s="33"/>
      <c r="F456" s="33"/>
      <c r="G456" s="34"/>
      <c r="H456" s="33"/>
      <c r="I456" s="33"/>
      <c r="J456" s="33"/>
      <c r="K456" s="33"/>
      <c r="L456" s="33"/>
      <c r="M456" s="33"/>
      <c r="N456" s="33"/>
      <c r="O456" s="33"/>
      <c r="P456" s="33"/>
      <c r="Q456" s="34"/>
      <c r="R456" s="35"/>
      <c r="S456" s="35"/>
      <c r="T456" s="35"/>
      <c r="U456" s="35"/>
      <c r="V456" s="35"/>
      <c r="W456" s="81"/>
      <c r="X456" s="36"/>
    </row>
    <row r="457" spans="1:25" ht="12.75" x14ac:dyDescent="0.2">
      <c r="A457" s="82" t="s">
        <v>41</v>
      </c>
      <c r="B457" s="38">
        <v>0</v>
      </c>
      <c r="C457" s="38">
        <v>129032.12</v>
      </c>
      <c r="D457" s="38">
        <v>232206.1</v>
      </c>
      <c r="E457" s="38">
        <v>247850.27</v>
      </c>
      <c r="F457" s="38">
        <v>137306.72</v>
      </c>
      <c r="G457" s="39">
        <f>SUM(B457:F457)</f>
        <v>746395.21</v>
      </c>
      <c r="H457" s="38">
        <v>60079.71</v>
      </c>
      <c r="I457" s="38">
        <v>0</v>
      </c>
      <c r="J457" s="38">
        <v>58157.96</v>
      </c>
      <c r="K457" s="38">
        <v>55268.88</v>
      </c>
      <c r="L457" s="38">
        <v>132557.59</v>
      </c>
      <c r="M457" s="38">
        <v>0</v>
      </c>
      <c r="N457" s="38">
        <v>51981.919999999998</v>
      </c>
      <c r="O457" s="38">
        <v>123891.28</v>
      </c>
      <c r="P457" s="38">
        <v>0</v>
      </c>
      <c r="Q457" s="39">
        <f>SUM(H457:P457)</f>
        <v>481937.33999999997</v>
      </c>
      <c r="R457" s="38">
        <v>97618.81</v>
      </c>
      <c r="S457" s="38"/>
      <c r="T457" s="38"/>
      <c r="U457" s="38"/>
      <c r="V457" s="38"/>
      <c r="W457" s="83">
        <f>Q457+G457+R457</f>
        <v>1325951.3599999999</v>
      </c>
      <c r="X457" s="41"/>
    </row>
    <row r="458" spans="1:25" ht="12.75" x14ac:dyDescent="0.2">
      <c r="A458" s="82" t="s">
        <v>42</v>
      </c>
      <c r="B458" s="141">
        <f t="shared" ref="B458:W458" si="131">B443+B457-B409</f>
        <v>35054.980000000003</v>
      </c>
      <c r="C458" s="141">
        <f t="shared" si="131"/>
        <v>1606460.03</v>
      </c>
      <c r="D458" s="141">
        <f t="shared" si="131"/>
        <v>2026277.9800000002</v>
      </c>
      <c r="E458" s="141">
        <f t="shared" si="131"/>
        <v>1209779.7999999998</v>
      </c>
      <c r="F458" s="141">
        <f t="shared" si="131"/>
        <v>1369626.4199999995</v>
      </c>
      <c r="G458" s="172">
        <f t="shared" si="131"/>
        <v>6247199.2100000018</v>
      </c>
      <c r="H458" s="141">
        <f t="shared" si="131"/>
        <v>332696.4599999999</v>
      </c>
      <c r="I458" s="141">
        <f t="shared" si="131"/>
        <v>90366.910000000251</v>
      </c>
      <c r="J458" s="141">
        <f t="shared" si="131"/>
        <v>907246.49000000034</v>
      </c>
      <c r="K458" s="141">
        <f t="shared" si="131"/>
        <v>915413.09</v>
      </c>
      <c r="L458" s="141">
        <f t="shared" si="131"/>
        <v>1160736.6500000001</v>
      </c>
      <c r="M458" s="141">
        <f t="shared" si="131"/>
        <v>193589.89000000039</v>
      </c>
      <c r="N458" s="141">
        <f t="shared" si="131"/>
        <v>609445.27999999991</v>
      </c>
      <c r="O458" s="141">
        <f t="shared" si="131"/>
        <v>1412995.0299999998</v>
      </c>
      <c r="P458" s="141">
        <f t="shared" si="131"/>
        <v>215248.43000000005</v>
      </c>
      <c r="Q458" s="39">
        <f t="shared" si="131"/>
        <v>5837735.7499999972</v>
      </c>
      <c r="R458" s="141">
        <f t="shared" si="131"/>
        <v>1390395.5999999999</v>
      </c>
      <c r="S458" s="141"/>
      <c r="T458" s="141"/>
      <c r="U458" s="141"/>
      <c r="V458" s="141"/>
      <c r="W458" s="83">
        <f t="shared" si="131"/>
        <v>13475330.560000001</v>
      </c>
      <c r="X458" s="41">
        <f>X443+W457</f>
        <v>263120751.3899999</v>
      </c>
    </row>
    <row r="459" spans="1:25" ht="12.75" x14ac:dyDescent="0.2">
      <c r="A459" s="85"/>
      <c r="B459" s="38"/>
      <c r="C459" s="38"/>
      <c r="D459" s="38"/>
      <c r="E459" s="38"/>
      <c r="F459" s="38"/>
      <c r="G459" s="39"/>
      <c r="H459" s="38"/>
      <c r="I459" s="38"/>
      <c r="J459" s="38"/>
      <c r="K459" s="38"/>
      <c r="L459" s="38"/>
      <c r="M459" s="38"/>
      <c r="N459" s="38"/>
      <c r="O459" s="38"/>
      <c r="P459" s="38"/>
      <c r="Q459" s="39" t="s">
        <v>60</v>
      </c>
      <c r="R459" s="43"/>
      <c r="S459" s="43"/>
      <c r="T459" s="43"/>
      <c r="U459" s="43"/>
      <c r="V459" s="43"/>
      <c r="W459" s="83"/>
      <c r="X459" s="41"/>
    </row>
    <row r="460" spans="1:25" ht="12.75" x14ac:dyDescent="0.2">
      <c r="A460" s="82" t="s">
        <v>43</v>
      </c>
      <c r="B460" s="38">
        <v>4551.03</v>
      </c>
      <c r="C460" s="38">
        <v>71627.05</v>
      </c>
      <c r="D460" s="38">
        <v>163423.44</v>
      </c>
      <c r="E460" s="38">
        <v>209063.06</v>
      </c>
      <c r="F460" s="38">
        <v>120240.35</v>
      </c>
      <c r="G460" s="39">
        <f>SUM(B460:F460)</f>
        <v>568904.93000000005</v>
      </c>
      <c r="H460" s="38">
        <v>62434.83</v>
      </c>
      <c r="I460" s="38">
        <v>0</v>
      </c>
      <c r="J460" s="38">
        <v>26377.49</v>
      </c>
      <c r="K460" s="38">
        <v>24522.240000000002</v>
      </c>
      <c r="L460" s="38">
        <v>139980.23000000001</v>
      </c>
      <c r="M460" s="38">
        <v>0</v>
      </c>
      <c r="N460" s="38">
        <v>42313.27</v>
      </c>
      <c r="O460" s="38">
        <v>119626.14</v>
      </c>
      <c r="P460" s="38">
        <v>0</v>
      </c>
      <c r="Q460" s="39">
        <f>SUM(H460:P460)</f>
        <v>415254.20000000007</v>
      </c>
      <c r="R460" s="38">
        <v>173018.56</v>
      </c>
      <c r="S460" s="38"/>
      <c r="T460" s="38"/>
      <c r="U460" s="38"/>
      <c r="V460" s="38"/>
      <c r="W460" s="83">
        <f>Q460+G460+R460</f>
        <v>1157177.6900000002</v>
      </c>
      <c r="X460" s="41"/>
    </row>
    <row r="461" spans="1:25" ht="12.75" x14ac:dyDescent="0.2">
      <c r="A461" s="82" t="s">
        <v>42</v>
      </c>
      <c r="B461" s="141">
        <f t="shared" ref="B461:W461" si="132">B458+B460-B412</f>
        <v>39606.01</v>
      </c>
      <c r="C461" s="141">
        <f t="shared" si="132"/>
        <v>1541535.7200000002</v>
      </c>
      <c r="D461" s="141">
        <f t="shared" si="132"/>
        <v>2066907.1000000003</v>
      </c>
      <c r="E461" s="141">
        <f t="shared" si="132"/>
        <v>1418842.8599999999</v>
      </c>
      <c r="F461" s="141">
        <f t="shared" si="132"/>
        <v>1418533.9699999995</v>
      </c>
      <c r="G461" s="39">
        <f t="shared" si="132"/>
        <v>6485425.660000002</v>
      </c>
      <c r="H461" s="141">
        <f t="shared" si="132"/>
        <v>395131.28999999992</v>
      </c>
      <c r="I461" s="141">
        <f t="shared" si="132"/>
        <v>90366.910000000251</v>
      </c>
      <c r="J461" s="141">
        <f t="shared" si="132"/>
        <v>871818.73000000033</v>
      </c>
      <c r="K461" s="141">
        <f t="shared" si="132"/>
        <v>877635.96</v>
      </c>
      <c r="L461" s="141">
        <f t="shared" si="132"/>
        <v>1300716.8800000001</v>
      </c>
      <c r="M461" s="141">
        <f t="shared" si="132"/>
        <v>193589.89000000039</v>
      </c>
      <c r="N461" s="141">
        <f t="shared" si="132"/>
        <v>606572.16999999993</v>
      </c>
      <c r="O461" s="141">
        <f t="shared" si="132"/>
        <v>1532621.1699999997</v>
      </c>
      <c r="P461" s="141">
        <f t="shared" si="132"/>
        <v>215248.43000000005</v>
      </c>
      <c r="Q461" s="39">
        <f t="shared" si="132"/>
        <v>6083698.9499999974</v>
      </c>
      <c r="R461" s="38">
        <f t="shared" si="132"/>
        <v>1563414.16</v>
      </c>
      <c r="S461" s="38"/>
      <c r="T461" s="38"/>
      <c r="U461" s="38"/>
      <c r="V461" s="38"/>
      <c r="W461" s="140">
        <f t="shared" si="132"/>
        <v>14132538.77</v>
      </c>
      <c r="X461" s="41">
        <f>W460+X458</f>
        <v>264277929.07999989</v>
      </c>
      <c r="Y461" s="9"/>
    </row>
    <row r="462" spans="1:25" ht="12.75" x14ac:dyDescent="0.2">
      <c r="A462" s="85"/>
      <c r="B462" s="44"/>
      <c r="C462" s="44"/>
      <c r="D462" s="44"/>
      <c r="E462" s="44"/>
      <c r="F462" s="44"/>
      <c r="G462" s="45"/>
      <c r="H462" s="44"/>
      <c r="I462" s="44"/>
      <c r="J462" s="44"/>
      <c r="K462" s="44"/>
      <c r="L462" s="44"/>
      <c r="M462" s="44"/>
      <c r="N462" s="44"/>
      <c r="O462" s="44"/>
      <c r="P462" s="44"/>
      <c r="Q462" s="45"/>
      <c r="R462" s="43"/>
      <c r="S462" s="43"/>
      <c r="T462" s="43"/>
      <c r="U462" s="43"/>
      <c r="V462" s="43"/>
      <c r="W462" s="86"/>
      <c r="X462" s="46"/>
    </row>
    <row r="463" spans="1:25" ht="12.75" x14ac:dyDescent="0.2">
      <c r="A463" s="82" t="s">
        <v>44</v>
      </c>
      <c r="B463" s="38">
        <v>7654.01</v>
      </c>
      <c r="C463" s="38">
        <v>71109.89</v>
      </c>
      <c r="D463" s="38">
        <v>131359.35</v>
      </c>
      <c r="E463" s="38">
        <v>234662.62</v>
      </c>
      <c r="F463" s="38">
        <v>117654.54</v>
      </c>
      <c r="G463" s="39">
        <f>SUM(B463:F463)</f>
        <v>562440.41</v>
      </c>
      <c r="H463" s="38">
        <v>85568.33</v>
      </c>
      <c r="I463" s="38">
        <v>0</v>
      </c>
      <c r="J463" s="38">
        <v>25347.59</v>
      </c>
      <c r="K463" s="38">
        <v>26143.78</v>
      </c>
      <c r="L463" s="38">
        <v>155680.60999999999</v>
      </c>
      <c r="M463" s="38">
        <v>0</v>
      </c>
      <c r="N463" s="38">
        <v>47015.13</v>
      </c>
      <c r="O463" s="38">
        <v>127435.25</v>
      </c>
      <c r="P463" s="38">
        <v>0</v>
      </c>
      <c r="Q463" s="39">
        <f>SUM(H463:P463)</f>
        <v>467190.69</v>
      </c>
      <c r="R463" s="38">
        <v>255361.25</v>
      </c>
      <c r="S463" s="38"/>
      <c r="T463" s="38"/>
      <c r="U463" s="38"/>
      <c r="V463" s="38"/>
      <c r="W463" s="83">
        <f>Q463+G463+R463</f>
        <v>1284992.3500000001</v>
      </c>
      <c r="X463" s="41"/>
    </row>
    <row r="464" spans="1:25" ht="12.75" x14ac:dyDescent="0.2">
      <c r="A464" s="82" t="s">
        <v>42</v>
      </c>
      <c r="B464" s="141">
        <f t="shared" ref="B464:W464" si="133">B461+B463-B415</f>
        <v>47260.020000000004</v>
      </c>
      <c r="C464" s="141">
        <f t="shared" si="133"/>
        <v>1475329.9700000002</v>
      </c>
      <c r="D464" s="141">
        <f t="shared" si="133"/>
        <v>2079548.2900000003</v>
      </c>
      <c r="E464" s="141">
        <f t="shared" si="133"/>
        <v>1653505.48</v>
      </c>
      <c r="F464" s="141">
        <f t="shared" si="133"/>
        <v>1431991.6699999995</v>
      </c>
      <c r="G464" s="39">
        <f t="shared" si="133"/>
        <v>6687635.4300000025</v>
      </c>
      <c r="H464" s="141">
        <f t="shared" si="133"/>
        <v>480699.61999999994</v>
      </c>
      <c r="I464" s="141">
        <f t="shared" si="133"/>
        <v>90366.910000000251</v>
      </c>
      <c r="J464" s="141">
        <f t="shared" si="133"/>
        <v>826023.26000000024</v>
      </c>
      <c r="K464" s="141">
        <f t="shared" si="133"/>
        <v>834224.77</v>
      </c>
      <c r="L464" s="141">
        <f t="shared" si="133"/>
        <v>1379318.8000000003</v>
      </c>
      <c r="M464" s="141">
        <f t="shared" si="133"/>
        <v>193589.89000000039</v>
      </c>
      <c r="N464" s="141">
        <f t="shared" si="133"/>
        <v>603974.64999999991</v>
      </c>
      <c r="O464" s="141">
        <f t="shared" si="133"/>
        <v>1656705.3099999996</v>
      </c>
      <c r="P464" s="141">
        <f t="shared" si="133"/>
        <v>215248.43000000005</v>
      </c>
      <c r="Q464" s="39">
        <f t="shared" si="133"/>
        <v>6280149.1599999983</v>
      </c>
      <c r="R464" s="38">
        <f t="shared" si="133"/>
        <v>1818775.41</v>
      </c>
      <c r="S464" s="38"/>
      <c r="T464" s="38"/>
      <c r="U464" s="38"/>
      <c r="V464" s="38"/>
      <c r="W464" s="140">
        <f t="shared" si="133"/>
        <v>14786560</v>
      </c>
      <c r="X464" s="41">
        <f>W463+X461</f>
        <v>265562921.42999989</v>
      </c>
      <c r="Y464" s="9"/>
    </row>
    <row r="465" spans="1:25" ht="12.75" x14ac:dyDescent="0.2">
      <c r="A465" s="85"/>
      <c r="B465" s="43"/>
      <c r="C465" s="43"/>
      <c r="D465" s="43"/>
      <c r="E465" s="43"/>
      <c r="F465" s="43"/>
      <c r="G465" s="47"/>
      <c r="H465" s="43"/>
      <c r="I465" s="43"/>
      <c r="J465" s="43"/>
      <c r="K465" s="43"/>
      <c r="L465" s="43"/>
      <c r="M465" s="43"/>
      <c r="N465" s="43"/>
      <c r="O465" s="43"/>
      <c r="P465" s="43"/>
      <c r="Q465" s="47"/>
      <c r="R465" s="43"/>
      <c r="S465" s="43"/>
      <c r="T465" s="43"/>
      <c r="U465" s="43"/>
      <c r="V465" s="43"/>
      <c r="W465" s="87"/>
      <c r="X465" s="46"/>
    </row>
    <row r="466" spans="1:25" ht="12.75" x14ac:dyDescent="0.2">
      <c r="A466" s="82" t="s">
        <v>45</v>
      </c>
      <c r="B466" s="38">
        <v>20686.509999999998</v>
      </c>
      <c r="C466" s="38">
        <v>119464.61</v>
      </c>
      <c r="D466" s="38">
        <v>249272.47</v>
      </c>
      <c r="E466" s="38">
        <v>172990.96</v>
      </c>
      <c r="F466" s="38">
        <v>136013.82</v>
      </c>
      <c r="G466" s="39">
        <f>SUM(B466:F466)</f>
        <v>698428.36999999988</v>
      </c>
      <c r="H466" s="38">
        <v>172362.34</v>
      </c>
      <c r="I466" s="38">
        <v>93159.96</v>
      </c>
      <c r="J466" s="38">
        <v>62755.88</v>
      </c>
      <c r="K466" s="38">
        <v>64876.65</v>
      </c>
      <c r="L466" s="38">
        <v>130900.88</v>
      </c>
      <c r="M466" s="38">
        <v>0</v>
      </c>
      <c r="N466" s="38">
        <v>22895.05</v>
      </c>
      <c r="O466" s="38">
        <v>110541.85</v>
      </c>
      <c r="P466" s="38">
        <v>0</v>
      </c>
      <c r="Q466" s="39">
        <f>SUM(H466:P466)</f>
        <v>657492.61</v>
      </c>
      <c r="R466" s="38">
        <v>164795.49</v>
      </c>
      <c r="S466" s="38"/>
      <c r="T466" s="38"/>
      <c r="U466" s="38"/>
      <c r="V466" s="38"/>
      <c r="W466" s="83">
        <f>Q466+G466+R466</f>
        <v>1520716.47</v>
      </c>
      <c r="X466" s="41"/>
      <c r="Y466" s="9"/>
    </row>
    <row r="467" spans="1:25" ht="12.75" x14ac:dyDescent="0.2">
      <c r="A467" s="82" t="s">
        <v>42</v>
      </c>
      <c r="B467" s="141">
        <f t="shared" ref="B467:W467" si="134">B464+B466-B418</f>
        <v>67946.53</v>
      </c>
      <c r="C467" s="141">
        <f t="shared" si="134"/>
        <v>1454676.5800000003</v>
      </c>
      <c r="D467" s="141">
        <f t="shared" si="134"/>
        <v>2172398.12</v>
      </c>
      <c r="E467" s="141">
        <f t="shared" si="134"/>
        <v>1730961.44</v>
      </c>
      <c r="F467" s="141">
        <f t="shared" si="134"/>
        <v>1451325.4099999995</v>
      </c>
      <c r="G467" s="39">
        <f t="shared" si="134"/>
        <v>6877308.0800000029</v>
      </c>
      <c r="H467" s="141">
        <f t="shared" si="134"/>
        <v>653061.96</v>
      </c>
      <c r="I467" s="141">
        <f t="shared" si="134"/>
        <v>183526.87000000026</v>
      </c>
      <c r="J467" s="141">
        <f t="shared" si="134"/>
        <v>823097.85000000021</v>
      </c>
      <c r="K467" s="141">
        <f t="shared" si="134"/>
        <v>833541.51</v>
      </c>
      <c r="L467" s="141">
        <f t="shared" si="134"/>
        <v>1452142.57</v>
      </c>
      <c r="M467" s="141">
        <f t="shared" si="134"/>
        <v>193589.89000000039</v>
      </c>
      <c r="N467" s="141">
        <f t="shared" si="134"/>
        <v>571805.84</v>
      </c>
      <c r="O467" s="141">
        <f t="shared" si="134"/>
        <v>1731703.2799999998</v>
      </c>
      <c r="P467" s="141">
        <f t="shared" si="134"/>
        <v>215248.43000000005</v>
      </c>
      <c r="Q467" s="39">
        <f t="shared" si="134"/>
        <v>6657715.7199999988</v>
      </c>
      <c r="R467" s="38">
        <f t="shared" si="134"/>
        <v>1924635.2999999998</v>
      </c>
      <c r="S467" s="38"/>
      <c r="T467" s="38"/>
      <c r="U467" s="38"/>
      <c r="V467" s="38"/>
      <c r="W467" s="140">
        <f t="shared" si="134"/>
        <v>15459659.100000001</v>
      </c>
      <c r="X467" s="41">
        <f>W466+X464</f>
        <v>267083637.89999989</v>
      </c>
      <c r="Y467" s="9"/>
    </row>
    <row r="468" spans="1:25" ht="12.75" x14ac:dyDescent="0.2">
      <c r="A468" s="85"/>
      <c r="B468" s="44"/>
      <c r="C468" s="44"/>
      <c r="D468" s="44"/>
      <c r="E468" s="44"/>
      <c r="F468" s="44"/>
      <c r="G468" s="45"/>
      <c r="H468" s="44"/>
      <c r="I468" s="44"/>
      <c r="J468" s="44"/>
      <c r="K468" s="44"/>
      <c r="L468" s="44"/>
      <c r="M468" s="44"/>
      <c r="N468" s="44"/>
      <c r="O468" s="44"/>
      <c r="P468" s="44"/>
      <c r="Q468" s="45"/>
      <c r="R468" s="43"/>
      <c r="S468" s="43"/>
      <c r="T468" s="43"/>
      <c r="U468" s="43"/>
      <c r="V468" s="43"/>
      <c r="W468" s="86"/>
      <c r="X468" s="46"/>
    </row>
    <row r="469" spans="1:25" ht="12.75" x14ac:dyDescent="0.2">
      <c r="A469" s="82" t="s">
        <v>46</v>
      </c>
      <c r="B469" s="38">
        <v>0</v>
      </c>
      <c r="C469" s="38">
        <v>120498.93</v>
      </c>
      <c r="D469" s="38">
        <v>265304.52</v>
      </c>
      <c r="E469" s="38">
        <v>174154.57</v>
      </c>
      <c r="F469" s="38">
        <v>111707.16</v>
      </c>
      <c r="G469" s="39">
        <f>SUM(B469:F469)</f>
        <v>671665.18</v>
      </c>
      <c r="H469" s="38">
        <v>171339.15</v>
      </c>
      <c r="I469" s="38">
        <v>54027.73</v>
      </c>
      <c r="J469" s="38">
        <v>36692.76</v>
      </c>
      <c r="K469" s="38">
        <v>50885.08</v>
      </c>
      <c r="L469" s="38">
        <v>129902.07</v>
      </c>
      <c r="M469" s="38">
        <v>18646.900000000001</v>
      </c>
      <c r="N469" s="38">
        <v>4556.91</v>
      </c>
      <c r="O469" s="38">
        <v>126344.74</v>
      </c>
      <c r="P469" s="38">
        <v>0</v>
      </c>
      <c r="Q469" s="39">
        <f>SUM(H469:P469)</f>
        <v>592395.34000000008</v>
      </c>
      <c r="R469" s="38">
        <v>188098.52</v>
      </c>
      <c r="S469" s="38"/>
      <c r="T469" s="38"/>
      <c r="U469" s="38"/>
      <c r="V469" s="38"/>
      <c r="W469" s="83">
        <f>Q469+G469+R469</f>
        <v>1452159.04</v>
      </c>
      <c r="X469" s="41"/>
    </row>
    <row r="470" spans="1:25" ht="12.75" x14ac:dyDescent="0.2">
      <c r="A470" s="82" t="s">
        <v>42</v>
      </c>
      <c r="B470" s="141">
        <f t="shared" ref="B470:W470" si="135">B467+B469-B421</f>
        <v>67946.53</v>
      </c>
      <c r="C470" s="141">
        <f t="shared" si="135"/>
        <v>1426650.4300000002</v>
      </c>
      <c r="D470" s="141">
        <f t="shared" si="135"/>
        <v>2334779.6</v>
      </c>
      <c r="E470" s="141">
        <f t="shared" si="135"/>
        <v>1871869.83</v>
      </c>
      <c r="F470" s="141">
        <f t="shared" si="135"/>
        <v>1439219.2099999993</v>
      </c>
      <c r="G470" s="39">
        <f t="shared" si="135"/>
        <v>7140465.6000000024</v>
      </c>
      <c r="H470" s="141">
        <f t="shared" si="135"/>
        <v>824401.11</v>
      </c>
      <c r="I470" s="141">
        <f t="shared" si="135"/>
        <v>237554.60000000027</v>
      </c>
      <c r="J470" s="141">
        <f t="shared" si="135"/>
        <v>798239.13000000024</v>
      </c>
      <c r="K470" s="141">
        <f t="shared" si="135"/>
        <v>825787.15999999992</v>
      </c>
      <c r="L470" s="141">
        <f t="shared" si="135"/>
        <v>1521281.7000000002</v>
      </c>
      <c r="M470" s="141">
        <f t="shared" si="135"/>
        <v>204801.72000000038</v>
      </c>
      <c r="N470" s="141">
        <f t="shared" si="135"/>
        <v>549255.56000000006</v>
      </c>
      <c r="O470" s="141">
        <f t="shared" si="135"/>
        <v>1735510.7499999998</v>
      </c>
      <c r="P470" s="141">
        <f t="shared" si="135"/>
        <v>215248.43000000005</v>
      </c>
      <c r="Q470" s="39">
        <f t="shared" si="135"/>
        <v>6912077.6799999988</v>
      </c>
      <c r="R470" s="38">
        <f t="shared" si="135"/>
        <v>2048537.63</v>
      </c>
      <c r="S470" s="38"/>
      <c r="T470" s="38"/>
      <c r="U470" s="38"/>
      <c r="V470" s="38"/>
      <c r="W470" s="140">
        <f t="shared" si="135"/>
        <v>16101080.91</v>
      </c>
      <c r="X470" s="41">
        <f>W469+X467</f>
        <v>268535796.93999988</v>
      </c>
      <c r="Y470" s="9"/>
    </row>
    <row r="471" spans="1:25" ht="12.75" x14ac:dyDescent="0.2">
      <c r="A471" s="85"/>
      <c r="B471" s="44"/>
      <c r="C471" s="44"/>
      <c r="D471" s="44"/>
      <c r="E471" s="44"/>
      <c r="F471" s="44"/>
      <c r="G471" s="45"/>
      <c r="H471" s="44"/>
      <c r="I471" s="44"/>
      <c r="J471" s="44"/>
      <c r="K471" s="44"/>
      <c r="L471" s="44"/>
      <c r="M471" s="44"/>
      <c r="N471" s="44"/>
      <c r="O471" s="44"/>
      <c r="P471" s="44"/>
      <c r="Q471" s="45"/>
      <c r="R471" s="43"/>
      <c r="S471" s="43"/>
      <c r="T471" s="43"/>
      <c r="U471" s="43"/>
      <c r="V471" s="43"/>
      <c r="W471" s="86"/>
      <c r="X471" s="46"/>
    </row>
    <row r="472" spans="1:25" ht="12.75" x14ac:dyDescent="0.2">
      <c r="A472" s="82" t="s">
        <v>47</v>
      </c>
      <c r="B472" s="38">
        <v>0</v>
      </c>
      <c r="C472" s="38">
        <v>137048.14000000001</v>
      </c>
      <c r="D472" s="38">
        <v>244100.84</v>
      </c>
      <c r="E472" s="38">
        <v>147003.53</v>
      </c>
      <c r="F472" s="38">
        <v>114292.98</v>
      </c>
      <c r="G472" s="39">
        <f>SUM(B472:F472)</f>
        <v>642445.49</v>
      </c>
      <c r="H472" s="38">
        <v>349475.63</v>
      </c>
      <c r="I472" s="38">
        <v>261535.04</v>
      </c>
      <c r="J472" s="38">
        <v>98824.66</v>
      </c>
      <c r="K472" s="38">
        <v>98330.66</v>
      </c>
      <c r="L472" s="38">
        <v>167199.73000000001</v>
      </c>
      <c r="M472" s="38">
        <v>41195.449999999997</v>
      </c>
      <c r="N472" s="38">
        <v>0</v>
      </c>
      <c r="O472" s="38">
        <v>200818.18</v>
      </c>
      <c r="P472" s="38">
        <v>60046.98</v>
      </c>
      <c r="Q472" s="39">
        <f>SUM(H472:P472)</f>
        <v>1277426.33</v>
      </c>
      <c r="R472" s="38">
        <v>200168.16</v>
      </c>
      <c r="S472" s="38"/>
      <c r="T472" s="38"/>
      <c r="U472" s="38"/>
      <c r="V472" s="38"/>
      <c r="W472" s="83">
        <f>Q472+G472+R472</f>
        <v>2120039.98</v>
      </c>
      <c r="X472" s="41"/>
    </row>
    <row r="473" spans="1:25" ht="12.75" x14ac:dyDescent="0.2">
      <c r="A473" s="82" t="s">
        <v>42</v>
      </c>
      <c r="B473" s="141">
        <f t="shared" ref="B473:W473" si="136">B470+B472-B424</f>
        <v>67946.53</v>
      </c>
      <c r="C473" s="141">
        <f t="shared" si="136"/>
        <v>1425618.6500000004</v>
      </c>
      <c r="D473" s="141">
        <f t="shared" si="136"/>
        <v>2465767</v>
      </c>
      <c r="E473" s="141">
        <f t="shared" si="136"/>
        <v>1921809.8</v>
      </c>
      <c r="F473" s="141">
        <f t="shared" si="136"/>
        <v>1432755.9499999993</v>
      </c>
      <c r="G473" s="39">
        <f t="shared" si="136"/>
        <v>7313897.9300000025</v>
      </c>
      <c r="H473" s="141">
        <f t="shared" si="136"/>
        <v>1173876.74</v>
      </c>
      <c r="I473" s="141">
        <f t="shared" si="136"/>
        <v>499089.64000000025</v>
      </c>
      <c r="J473" s="141">
        <f t="shared" si="136"/>
        <v>788573.85000000033</v>
      </c>
      <c r="K473" s="141">
        <f t="shared" si="136"/>
        <v>816231.22</v>
      </c>
      <c r="L473" s="141">
        <f t="shared" si="136"/>
        <v>1549650.7400000002</v>
      </c>
      <c r="M473" s="141">
        <f t="shared" si="136"/>
        <v>221275.32000000039</v>
      </c>
      <c r="N473" s="141">
        <f t="shared" si="136"/>
        <v>519531.63000000006</v>
      </c>
      <c r="O473" s="141">
        <f t="shared" si="136"/>
        <v>1729542.1099999996</v>
      </c>
      <c r="P473" s="141">
        <f t="shared" si="136"/>
        <v>275295.41000000003</v>
      </c>
      <c r="Q473" s="39">
        <f t="shared" si="136"/>
        <v>7573064.1799999988</v>
      </c>
      <c r="R473" s="38">
        <f t="shared" si="136"/>
        <v>2179927.23</v>
      </c>
      <c r="S473" s="38"/>
      <c r="T473" s="38"/>
      <c r="U473" s="38"/>
      <c r="V473" s="38"/>
      <c r="W473" s="140">
        <f t="shared" si="136"/>
        <v>17066889.34</v>
      </c>
      <c r="X473" s="41">
        <f>W472+X470</f>
        <v>270655836.9199999</v>
      </c>
      <c r="Y473" s="9"/>
    </row>
    <row r="474" spans="1:25" ht="12.75" x14ac:dyDescent="0.2">
      <c r="A474" s="85"/>
      <c r="B474" s="43"/>
      <c r="C474" s="43"/>
      <c r="D474" s="43"/>
      <c r="E474" s="43"/>
      <c r="F474" s="43"/>
      <c r="G474" s="47"/>
      <c r="H474" s="43"/>
      <c r="I474" s="43"/>
      <c r="J474" s="43"/>
      <c r="K474" s="43"/>
      <c r="L474" s="43"/>
      <c r="M474" s="43"/>
      <c r="N474" s="43"/>
      <c r="O474" s="43"/>
      <c r="P474" s="43"/>
      <c r="Q474" s="47"/>
      <c r="R474" s="43"/>
      <c r="S474" s="43"/>
      <c r="T474" s="43"/>
      <c r="U474" s="43"/>
      <c r="V474" s="43"/>
      <c r="W474" s="87"/>
      <c r="X474" s="46"/>
    </row>
    <row r="475" spans="1:25" ht="12.75" x14ac:dyDescent="0.2">
      <c r="A475" s="82" t="s">
        <v>48</v>
      </c>
      <c r="B475" s="38">
        <v>0</v>
      </c>
      <c r="C475" s="38">
        <v>140409.70000000001</v>
      </c>
      <c r="D475" s="38">
        <v>264270.19</v>
      </c>
      <c r="E475" s="38">
        <v>157863.94</v>
      </c>
      <c r="F475" s="38">
        <v>137048.14000000001</v>
      </c>
      <c r="G475" s="39">
        <f>SUM(B475:F475)</f>
        <v>699591.97000000009</v>
      </c>
      <c r="H475" s="38">
        <v>346897.42</v>
      </c>
      <c r="I475" s="38">
        <v>260761.78</v>
      </c>
      <c r="J475" s="38">
        <v>84167.6</v>
      </c>
      <c r="K475" s="38">
        <v>93063.31</v>
      </c>
      <c r="L475" s="38">
        <v>201419.4</v>
      </c>
      <c r="M475" s="38">
        <v>40017.89</v>
      </c>
      <c r="N475" s="38">
        <v>0</v>
      </c>
      <c r="O475" s="38">
        <v>189568.47</v>
      </c>
      <c r="P475" s="38">
        <v>141276.79999999999</v>
      </c>
      <c r="Q475" s="39">
        <f>SUM(H475:P475)</f>
        <v>1357172.67</v>
      </c>
      <c r="R475" s="38">
        <v>282351.21999999997</v>
      </c>
      <c r="S475" s="38"/>
      <c r="T475" s="38"/>
      <c r="U475" s="38"/>
      <c r="V475" s="38"/>
      <c r="W475" s="83">
        <f>Q475+G475+R475</f>
        <v>2339115.8600000003</v>
      </c>
      <c r="X475" s="41"/>
    </row>
    <row r="476" spans="1:25" ht="12.75" x14ac:dyDescent="0.2">
      <c r="A476" s="82" t="s">
        <v>42</v>
      </c>
      <c r="B476" s="141">
        <f t="shared" ref="B476:W476" si="137">B473+B475-B427</f>
        <v>67946.53</v>
      </c>
      <c r="C476" s="141">
        <f t="shared" si="137"/>
        <v>1424381.7900000003</v>
      </c>
      <c r="D476" s="141">
        <f t="shared" si="137"/>
        <v>2565971.75</v>
      </c>
      <c r="E476" s="141">
        <f t="shared" si="137"/>
        <v>1927964.16</v>
      </c>
      <c r="F476" s="141">
        <f t="shared" si="137"/>
        <v>1441405.0499999993</v>
      </c>
      <c r="G476" s="39">
        <f t="shared" si="137"/>
        <v>7427669.2800000021</v>
      </c>
      <c r="H476" s="141">
        <f t="shared" si="137"/>
        <v>1520774.16</v>
      </c>
      <c r="I476" s="141">
        <f t="shared" si="137"/>
        <v>759851.42000000027</v>
      </c>
      <c r="J476" s="141">
        <f t="shared" si="137"/>
        <v>779473.3200000003</v>
      </c>
      <c r="K476" s="141">
        <f t="shared" si="137"/>
        <v>811503.39</v>
      </c>
      <c r="L476" s="141">
        <f t="shared" si="137"/>
        <v>1604900.4600000002</v>
      </c>
      <c r="M476" s="141">
        <f t="shared" si="137"/>
        <v>224305.02000000037</v>
      </c>
      <c r="N476" s="141">
        <f t="shared" si="137"/>
        <v>451569.76000000007</v>
      </c>
      <c r="O476" s="141">
        <f t="shared" si="137"/>
        <v>1709553.8499999996</v>
      </c>
      <c r="P476" s="141">
        <f t="shared" si="137"/>
        <v>357124.92000000004</v>
      </c>
      <c r="Q476" s="39">
        <f t="shared" si="137"/>
        <v>8219056.299999998</v>
      </c>
      <c r="R476" s="38">
        <f t="shared" si="137"/>
        <v>2260762.96</v>
      </c>
      <c r="S476" s="38"/>
      <c r="T476" s="38"/>
      <c r="U476" s="38"/>
      <c r="V476" s="38"/>
      <c r="W476" s="140">
        <f t="shared" si="137"/>
        <v>17907488.539999999</v>
      </c>
      <c r="X476" s="41">
        <f>W475+X473</f>
        <v>272994952.77999991</v>
      </c>
      <c r="Y476" s="9"/>
    </row>
    <row r="477" spans="1:25" ht="12.75" x14ac:dyDescent="0.2">
      <c r="A477" s="85"/>
      <c r="B477" s="44"/>
      <c r="C477" s="44"/>
      <c r="D477" s="44"/>
      <c r="E477" s="44"/>
      <c r="F477" s="44"/>
      <c r="G477" s="45"/>
      <c r="H477" s="44"/>
      <c r="I477" s="44"/>
      <c r="J477" s="44"/>
      <c r="K477" s="44"/>
      <c r="L477" s="44"/>
      <c r="M477" s="44"/>
      <c r="N477" s="44"/>
      <c r="O477" s="44"/>
      <c r="P477" s="44"/>
      <c r="Q477" s="45"/>
      <c r="R477" s="43"/>
      <c r="S477" s="43"/>
      <c r="T477" s="43"/>
      <c r="U477" s="43"/>
      <c r="V477" s="43"/>
      <c r="W477" s="86"/>
      <c r="X477" s="46"/>
    </row>
    <row r="478" spans="1:25" ht="12.75" x14ac:dyDescent="0.2">
      <c r="A478" s="82" t="s">
        <v>49</v>
      </c>
      <c r="B478" s="38">
        <v>0</v>
      </c>
      <c r="C478" s="38">
        <v>116639.67</v>
      </c>
      <c r="D478" s="38">
        <v>243110.19</v>
      </c>
      <c r="E478" s="38">
        <v>152273.89000000001</v>
      </c>
      <c r="F478" s="38">
        <v>99592.68</v>
      </c>
      <c r="G478" s="39">
        <f>SUM(B478:F478)</f>
        <v>611616.42999999993</v>
      </c>
      <c r="H478" s="38">
        <v>369800.4</v>
      </c>
      <c r="I478" s="38">
        <v>276521.09000000003</v>
      </c>
      <c r="J478" s="38">
        <v>70658.850000000006</v>
      </c>
      <c r="K478" s="38">
        <v>86412.14</v>
      </c>
      <c r="L478" s="38">
        <v>211209.76</v>
      </c>
      <c r="M478" s="38">
        <v>46762.41</v>
      </c>
      <c r="N478" s="38">
        <v>52138.28</v>
      </c>
      <c r="O478" s="38">
        <v>201884.93</v>
      </c>
      <c r="P478" s="38">
        <v>149254.45000000001</v>
      </c>
      <c r="Q478" s="39">
        <f>SUM(H478:P478)</f>
        <v>1464642.3099999998</v>
      </c>
      <c r="R478" s="38">
        <v>330146.40000000002</v>
      </c>
      <c r="S478" s="38"/>
      <c r="T478" s="38"/>
      <c r="U478" s="38"/>
      <c r="V478" s="38"/>
      <c r="W478" s="83">
        <f>Q478+G478+R478</f>
        <v>2406405.1399999997</v>
      </c>
      <c r="X478" s="41"/>
    </row>
    <row r="479" spans="1:25" ht="12.75" x14ac:dyDescent="0.2">
      <c r="A479" s="82" t="s">
        <v>42</v>
      </c>
      <c r="B479" s="141">
        <f t="shared" ref="B479:W479" si="138">B476+B478-B430</f>
        <v>67946.53</v>
      </c>
      <c r="C479" s="141">
        <f t="shared" si="138"/>
        <v>1409055.7800000003</v>
      </c>
      <c r="D479" s="141">
        <f t="shared" si="138"/>
        <v>2623616.66</v>
      </c>
      <c r="E479" s="141">
        <f t="shared" si="138"/>
        <v>1926235.63</v>
      </c>
      <c r="F479" s="141">
        <f t="shared" si="138"/>
        <v>1424827.1699999992</v>
      </c>
      <c r="G479" s="39">
        <f t="shared" si="138"/>
        <v>7451681.7700000014</v>
      </c>
      <c r="H479" s="141">
        <f t="shared" si="138"/>
        <v>1890574.56</v>
      </c>
      <c r="I479" s="141">
        <f t="shared" si="138"/>
        <v>1036372.5100000002</v>
      </c>
      <c r="J479" s="141">
        <f t="shared" si="138"/>
        <v>755881.56000000029</v>
      </c>
      <c r="K479" s="141">
        <f t="shared" si="138"/>
        <v>796802.77</v>
      </c>
      <c r="L479" s="141">
        <f t="shared" si="138"/>
        <v>1678862.2400000002</v>
      </c>
      <c r="M479" s="141">
        <f t="shared" si="138"/>
        <v>234448.73000000039</v>
      </c>
      <c r="N479" s="141">
        <f t="shared" si="138"/>
        <v>433656.32000000007</v>
      </c>
      <c r="O479" s="141">
        <f t="shared" si="138"/>
        <v>1707222.2899999996</v>
      </c>
      <c r="P479" s="141">
        <f t="shared" si="138"/>
        <v>435767.21000000008</v>
      </c>
      <c r="Q479" s="39">
        <f t="shared" si="138"/>
        <v>8969588.1899999976</v>
      </c>
      <c r="R479" s="38">
        <f t="shared" si="138"/>
        <v>2418010.0099999998</v>
      </c>
      <c r="S479" s="38"/>
      <c r="T479" s="38"/>
      <c r="U479" s="38"/>
      <c r="V479" s="38"/>
      <c r="W479" s="140">
        <f t="shared" si="138"/>
        <v>18839279.969999999</v>
      </c>
      <c r="X479" s="41">
        <f>W478+X476</f>
        <v>275401357.9199999</v>
      </c>
      <c r="Y479" s="9"/>
    </row>
    <row r="480" spans="1:25" ht="12.75" x14ac:dyDescent="0.2">
      <c r="A480" s="85"/>
      <c r="B480" s="43"/>
      <c r="C480" s="43"/>
      <c r="D480" s="43"/>
      <c r="E480" s="43"/>
      <c r="F480" s="43"/>
      <c r="G480" s="47"/>
      <c r="H480" s="43"/>
      <c r="I480" s="43"/>
      <c r="J480" s="43"/>
      <c r="K480" s="43"/>
      <c r="L480" s="43"/>
      <c r="M480" s="43"/>
      <c r="N480" s="43"/>
      <c r="O480" s="43"/>
      <c r="P480" s="43"/>
      <c r="Q480" s="47"/>
      <c r="R480" s="43"/>
      <c r="S480" s="43"/>
      <c r="T480" s="43"/>
      <c r="U480" s="43"/>
      <c r="V480" s="43"/>
      <c r="W480" s="87"/>
      <c r="X480" s="46"/>
    </row>
    <row r="481" spans="1:25" ht="12.75" x14ac:dyDescent="0.2">
      <c r="A481" s="82" t="s">
        <v>50</v>
      </c>
      <c r="B481" s="38">
        <v>827.46</v>
      </c>
      <c r="C481" s="38">
        <v>96450.86</v>
      </c>
      <c r="D481" s="38">
        <v>207382.28</v>
      </c>
      <c r="E481" s="38">
        <v>63611.02</v>
      </c>
      <c r="F481" s="38">
        <v>119981.77</v>
      </c>
      <c r="G481" s="39">
        <f>SUM(B481:F481)</f>
        <v>488253.39</v>
      </c>
      <c r="H481" s="38">
        <v>317764.8</v>
      </c>
      <c r="I481" s="38">
        <v>243778.75</v>
      </c>
      <c r="J481" s="38">
        <v>80721.31</v>
      </c>
      <c r="K481" s="38">
        <v>88417.47</v>
      </c>
      <c r="L481" s="38">
        <v>205479.78</v>
      </c>
      <c r="M481" s="38">
        <v>41140.949999999997</v>
      </c>
      <c r="N481" s="38">
        <v>30258.59</v>
      </c>
      <c r="O481" s="38">
        <v>187391.56</v>
      </c>
      <c r="P481" s="38">
        <v>129025.5</v>
      </c>
      <c r="Q481" s="39">
        <f>SUM(H481:P481)</f>
        <v>1323978.71</v>
      </c>
      <c r="R481" s="38">
        <v>466277.94</v>
      </c>
      <c r="S481" s="38"/>
      <c r="T481" s="38"/>
      <c r="U481" s="38"/>
      <c r="V481" s="38"/>
      <c r="W481" s="83">
        <f>Q481+G481+R481</f>
        <v>2278510.04</v>
      </c>
      <c r="X481" s="41"/>
    </row>
    <row r="482" spans="1:25" ht="12.75" x14ac:dyDescent="0.2">
      <c r="A482" s="82" t="s">
        <v>42</v>
      </c>
      <c r="B482" s="141">
        <f t="shared" ref="B482:W482" si="139">B479+B481-B433</f>
        <v>68773.990000000005</v>
      </c>
      <c r="C482" s="141">
        <f t="shared" si="139"/>
        <v>1376852.8400000003</v>
      </c>
      <c r="D482" s="141">
        <f t="shared" si="139"/>
        <v>2656743.1</v>
      </c>
      <c r="E482" s="141">
        <f t="shared" si="139"/>
        <v>1862594.0299999998</v>
      </c>
      <c r="F482" s="141">
        <f t="shared" si="139"/>
        <v>1420231.2999999993</v>
      </c>
      <c r="G482" s="39">
        <f t="shared" si="139"/>
        <v>7385195.2600000007</v>
      </c>
      <c r="H482" s="141">
        <f t="shared" si="139"/>
        <v>2208339.36</v>
      </c>
      <c r="I482" s="141">
        <f t="shared" si="139"/>
        <v>1280151.2600000002</v>
      </c>
      <c r="J482" s="141">
        <f t="shared" si="139"/>
        <v>738226.48000000033</v>
      </c>
      <c r="K482" s="141">
        <f t="shared" si="139"/>
        <v>781816.28</v>
      </c>
      <c r="L482" s="141">
        <f t="shared" si="139"/>
        <v>1717529.7200000002</v>
      </c>
      <c r="M482" s="141">
        <f t="shared" si="139"/>
        <v>243288.70000000039</v>
      </c>
      <c r="N482" s="141">
        <f t="shared" si="139"/>
        <v>404210.7900000001</v>
      </c>
      <c r="O482" s="141">
        <f t="shared" si="139"/>
        <v>1703720.2599999995</v>
      </c>
      <c r="P482" s="141">
        <f t="shared" si="139"/>
        <v>496869.74000000011</v>
      </c>
      <c r="Q482" s="39">
        <f t="shared" si="139"/>
        <v>9574152.589999998</v>
      </c>
      <c r="R482" s="38">
        <f t="shared" si="139"/>
        <v>2710459.4799999995</v>
      </c>
      <c r="S482" s="38"/>
      <c r="T482" s="38"/>
      <c r="U482" s="38"/>
      <c r="V482" s="38"/>
      <c r="W482" s="140">
        <f t="shared" si="139"/>
        <v>19669807.329999998</v>
      </c>
      <c r="X482" s="41">
        <f>W481+X479</f>
        <v>277679867.95999992</v>
      </c>
      <c r="Y482" s="9"/>
    </row>
    <row r="483" spans="1:25" ht="12.75" x14ac:dyDescent="0.2">
      <c r="A483" s="85"/>
      <c r="B483" s="43"/>
      <c r="C483" s="43"/>
      <c r="D483" s="43"/>
      <c r="E483" s="43"/>
      <c r="F483" s="43"/>
      <c r="G483" s="47"/>
      <c r="H483" s="43"/>
      <c r="I483" s="43"/>
      <c r="J483" s="43"/>
      <c r="K483" s="43"/>
      <c r="L483" s="43"/>
      <c r="M483" s="43"/>
      <c r="N483" s="43"/>
      <c r="O483" s="43"/>
      <c r="P483" s="43"/>
      <c r="Q483" s="47"/>
      <c r="R483" s="43"/>
      <c r="S483" s="43"/>
      <c r="T483" s="43"/>
      <c r="U483" s="43"/>
      <c r="V483" s="43"/>
      <c r="W483" s="87"/>
      <c r="X483" s="46"/>
    </row>
    <row r="484" spans="1:25" ht="12.75" x14ac:dyDescent="0.2">
      <c r="A484" s="82" t="s">
        <v>51</v>
      </c>
      <c r="B484" s="38">
        <v>1034.33</v>
      </c>
      <c r="C484" s="38">
        <v>102915.4</v>
      </c>
      <c r="D484" s="38">
        <v>141702.60999999999</v>
      </c>
      <c r="E484" s="38">
        <v>136530.98000000001</v>
      </c>
      <c r="F484" s="38">
        <v>137306.72</v>
      </c>
      <c r="G484" s="39">
        <f>SUM(B484:F484)</f>
        <v>519490.03999999992</v>
      </c>
      <c r="H484" s="38">
        <v>183318.76</v>
      </c>
      <c r="I484" s="38">
        <v>152687.93</v>
      </c>
      <c r="J484" s="38">
        <v>65953.53</v>
      </c>
      <c r="K484" s="38">
        <v>65597.600000000006</v>
      </c>
      <c r="L484" s="38">
        <v>146395.95000000001</v>
      </c>
      <c r="M484" s="38">
        <v>9858.7199999999993</v>
      </c>
      <c r="N484" s="38">
        <v>0</v>
      </c>
      <c r="O484" s="38">
        <v>121660.77</v>
      </c>
      <c r="P484" s="38">
        <v>84623.11</v>
      </c>
      <c r="Q484" s="39">
        <f>SUM(H484:P484)</f>
        <v>830096.37</v>
      </c>
      <c r="R484" s="38">
        <v>397072.73</v>
      </c>
      <c r="S484" s="38"/>
      <c r="T484" s="38"/>
      <c r="U484" s="38"/>
      <c r="V484" s="38"/>
      <c r="W484" s="83">
        <f>Q484+G484+R484</f>
        <v>1746659.14</v>
      </c>
      <c r="X484" s="41"/>
    </row>
    <row r="485" spans="1:25" ht="12.75" x14ac:dyDescent="0.2">
      <c r="A485" s="82" t="s">
        <v>42</v>
      </c>
      <c r="B485" s="141">
        <f t="shared" ref="B485:W485" si="140">B482+B484-B436</f>
        <v>52688.450000000012</v>
      </c>
      <c r="C485" s="141">
        <f t="shared" si="140"/>
        <v>1357408.7700000003</v>
      </c>
      <c r="D485" s="141">
        <f t="shared" si="140"/>
        <v>2574714.4699999997</v>
      </c>
      <c r="E485" s="141">
        <f t="shared" si="140"/>
        <v>1882871.2999999998</v>
      </c>
      <c r="F485" s="141">
        <f t="shared" si="140"/>
        <v>1475969.2399999993</v>
      </c>
      <c r="G485" s="39">
        <f t="shared" si="140"/>
        <v>7343652.2300000004</v>
      </c>
      <c r="H485" s="141">
        <f t="shared" si="140"/>
        <v>2287210.3000000003</v>
      </c>
      <c r="I485" s="141">
        <f t="shared" si="140"/>
        <v>1373591.9800000002</v>
      </c>
      <c r="J485" s="141">
        <f t="shared" si="140"/>
        <v>745834.50000000035</v>
      </c>
      <c r="K485" s="141">
        <f t="shared" si="140"/>
        <v>789123.06</v>
      </c>
      <c r="L485" s="141">
        <f t="shared" si="140"/>
        <v>1731823.3800000001</v>
      </c>
      <c r="M485" s="141">
        <f t="shared" si="140"/>
        <v>228355.01000000039</v>
      </c>
      <c r="N485" s="141">
        <f t="shared" si="140"/>
        <v>360866.35000000009</v>
      </c>
      <c r="O485" s="141">
        <f t="shared" si="140"/>
        <v>1743624.8999999994</v>
      </c>
      <c r="P485" s="141">
        <f t="shared" si="140"/>
        <v>564226.84000000008</v>
      </c>
      <c r="Q485" s="39">
        <f t="shared" si="140"/>
        <v>9824656.3199999966</v>
      </c>
      <c r="R485" s="38">
        <f t="shared" si="140"/>
        <v>2929288.9399999995</v>
      </c>
      <c r="S485" s="38"/>
      <c r="T485" s="38"/>
      <c r="U485" s="38"/>
      <c r="V485" s="38"/>
      <c r="W485" s="140">
        <f t="shared" si="140"/>
        <v>20097597.489999998</v>
      </c>
      <c r="X485" s="41">
        <f>W484+X482</f>
        <v>279426527.0999999</v>
      </c>
    </row>
    <row r="486" spans="1:25" ht="12.75" x14ac:dyDescent="0.2">
      <c r="A486" s="85"/>
      <c r="B486" s="44"/>
      <c r="C486" s="44"/>
      <c r="D486" s="44"/>
      <c r="E486" s="44"/>
      <c r="F486" s="44"/>
      <c r="G486" s="45"/>
      <c r="H486" s="44"/>
      <c r="I486" s="44"/>
      <c r="J486" s="44"/>
      <c r="K486" s="44"/>
      <c r="L486" s="44"/>
      <c r="M486" s="44"/>
      <c r="N486" s="44"/>
      <c r="O486" s="44"/>
      <c r="P486" s="44"/>
      <c r="Q486" s="45"/>
      <c r="R486" s="43"/>
      <c r="S486" s="43"/>
      <c r="T486" s="43"/>
      <c r="U486" s="43"/>
      <c r="V486" s="43"/>
      <c r="W486" s="86"/>
      <c r="X486" s="46"/>
    </row>
    <row r="487" spans="1:25" ht="12.75" x14ac:dyDescent="0.2">
      <c r="A487" s="82" t="s">
        <v>52</v>
      </c>
      <c r="B487" s="38">
        <v>0</v>
      </c>
      <c r="C487" s="38">
        <v>80418.820000000007</v>
      </c>
      <c r="D487" s="38">
        <v>188764.42</v>
      </c>
      <c r="E487" s="38">
        <v>255219.84</v>
      </c>
      <c r="F487" s="38">
        <v>125929.14</v>
      </c>
      <c r="G487" s="39">
        <f>SUM(B487:F487)</f>
        <v>650332.22</v>
      </c>
      <c r="H487" s="38">
        <v>192301.81</v>
      </c>
      <c r="I487" s="38">
        <v>150843.25</v>
      </c>
      <c r="J487" s="38">
        <v>42009.95</v>
      </c>
      <c r="K487" s="38">
        <v>23096.28</v>
      </c>
      <c r="L487" s="38">
        <v>146067.31</v>
      </c>
      <c r="M487" s="38">
        <v>0</v>
      </c>
      <c r="N487" s="38">
        <v>0</v>
      </c>
      <c r="O487" s="38">
        <v>97468.38</v>
      </c>
      <c r="P487" s="38">
        <v>23676.25</v>
      </c>
      <c r="Q487" s="39">
        <f>SUM(H487:P487)</f>
        <v>675463.2300000001</v>
      </c>
      <c r="R487" s="38">
        <v>775726.39</v>
      </c>
      <c r="S487" s="38"/>
      <c r="T487" s="38"/>
      <c r="U487" s="38"/>
      <c r="V487" s="38"/>
      <c r="W487" s="83">
        <f>Q487+G487+R487</f>
        <v>2101521.8400000003</v>
      </c>
      <c r="X487" s="41"/>
    </row>
    <row r="488" spans="1:25" ht="12.75" x14ac:dyDescent="0.2">
      <c r="A488" s="82" t="s">
        <v>42</v>
      </c>
      <c r="B488" s="141">
        <f t="shared" ref="B488:W488" si="141">B485+B487-B439</f>
        <v>39237.12000000001</v>
      </c>
      <c r="C488" s="141">
        <f t="shared" si="141"/>
        <v>1317580.8700000003</v>
      </c>
      <c r="D488" s="141">
        <f t="shared" si="141"/>
        <v>2544894.8099999996</v>
      </c>
      <c r="E488" s="141">
        <f t="shared" si="141"/>
        <v>2090323.6399999997</v>
      </c>
      <c r="F488" s="141">
        <f t="shared" si="141"/>
        <v>1482161.1799999992</v>
      </c>
      <c r="G488" s="39">
        <f t="shared" si="141"/>
        <v>7474197.6200000001</v>
      </c>
      <c r="H488" s="141">
        <f t="shared" si="141"/>
        <v>2405480.2400000002</v>
      </c>
      <c r="I488" s="141">
        <f t="shared" si="141"/>
        <v>1493315.5300000003</v>
      </c>
      <c r="J488" s="141">
        <f t="shared" si="141"/>
        <v>722455.17000000027</v>
      </c>
      <c r="K488" s="141">
        <f t="shared" si="141"/>
        <v>747079.82000000007</v>
      </c>
      <c r="L488" s="141">
        <f t="shared" si="141"/>
        <v>1842803.87</v>
      </c>
      <c r="M488" s="141">
        <f t="shared" si="141"/>
        <v>209154.59000000037</v>
      </c>
      <c r="N488" s="141">
        <f t="shared" si="141"/>
        <v>310663.99000000011</v>
      </c>
      <c r="O488" s="141">
        <f t="shared" si="141"/>
        <v>1728404.1999999993</v>
      </c>
      <c r="P488" s="141">
        <f t="shared" si="141"/>
        <v>587903.09000000008</v>
      </c>
      <c r="Q488" s="39">
        <f t="shared" si="141"/>
        <v>10047260.499999996</v>
      </c>
      <c r="R488" s="38">
        <f t="shared" si="141"/>
        <v>3508319.9999999995</v>
      </c>
      <c r="S488" s="38"/>
      <c r="T488" s="38"/>
      <c r="U488" s="38"/>
      <c r="V488" s="38"/>
      <c r="W488" s="140">
        <f t="shared" si="141"/>
        <v>21029778.119999997</v>
      </c>
      <c r="X488" s="41">
        <f>W487+X485</f>
        <v>281528048.93999988</v>
      </c>
    </row>
    <row r="489" spans="1:25" ht="12.75" x14ac:dyDescent="0.2">
      <c r="A489" s="85"/>
      <c r="B489" s="43"/>
      <c r="C489" s="43"/>
      <c r="D489" s="43"/>
      <c r="E489" s="43"/>
      <c r="F489" s="43"/>
      <c r="G489" s="47"/>
      <c r="H489" s="43"/>
      <c r="I489" s="43"/>
      <c r="J489" s="43"/>
      <c r="K489" s="43"/>
      <c r="L489" s="43"/>
      <c r="M489" s="43"/>
      <c r="N489" s="43"/>
      <c r="O489" s="43"/>
      <c r="P489" s="43"/>
      <c r="Q489" s="47"/>
      <c r="R489" s="43"/>
      <c r="S489" s="43"/>
      <c r="T489" s="43"/>
      <c r="U489" s="43"/>
      <c r="V489" s="43"/>
      <c r="W489" s="87"/>
      <c r="X489" s="46"/>
    </row>
    <row r="490" spans="1:25" ht="12.75" x14ac:dyDescent="0.2">
      <c r="A490" s="82" t="s">
        <v>53</v>
      </c>
      <c r="B490" s="38">
        <v>0</v>
      </c>
      <c r="C490" s="38">
        <v>72144.210000000006</v>
      </c>
      <c r="D490" s="38">
        <v>227551.63</v>
      </c>
      <c r="E490" s="38">
        <v>265692.39</v>
      </c>
      <c r="F490" s="38">
        <v>131100.76999999999</v>
      </c>
      <c r="G490" s="39">
        <f>SUM(B490:F490)</f>
        <v>696489</v>
      </c>
      <c r="H490" s="38">
        <v>185059.26</v>
      </c>
      <c r="I490" s="38">
        <v>142286.96</v>
      </c>
      <c r="J490" s="38">
        <v>44442.400000000001</v>
      </c>
      <c r="K490" s="38">
        <v>40250.25</v>
      </c>
      <c r="L490" s="38">
        <v>149556.79999999999</v>
      </c>
      <c r="M490" s="38">
        <v>0</v>
      </c>
      <c r="N490" s="38">
        <v>0</v>
      </c>
      <c r="O490" s="38">
        <v>44340.3</v>
      </c>
      <c r="P490" s="38">
        <v>22743.06</v>
      </c>
      <c r="Q490" s="39">
        <f>SUM(H490:P490)</f>
        <v>628679.03</v>
      </c>
      <c r="R490" s="38">
        <v>568915.66</v>
      </c>
      <c r="S490" s="38"/>
      <c r="T490" s="38"/>
      <c r="U490" s="38"/>
      <c r="V490" s="38"/>
      <c r="W490" s="83">
        <f>Q490+G490+R490</f>
        <v>1894083.69</v>
      </c>
      <c r="X490" s="41"/>
    </row>
    <row r="491" spans="1:25" ht="13.5" thickBot="1" x14ac:dyDescent="0.25">
      <c r="A491" s="88" t="s">
        <v>42</v>
      </c>
      <c r="B491" s="143">
        <f t="shared" ref="B491:W491" si="142">B488+B490-B442</f>
        <v>34753.340000000011</v>
      </c>
      <c r="C491" s="143">
        <f t="shared" si="142"/>
        <v>1257759.4000000004</v>
      </c>
      <c r="D491" s="143">
        <f t="shared" si="142"/>
        <v>2558448.0399999996</v>
      </c>
      <c r="E491" s="143">
        <f t="shared" si="142"/>
        <v>2216917.0699999998</v>
      </c>
      <c r="F491" s="143">
        <f t="shared" si="142"/>
        <v>1488174.7899999993</v>
      </c>
      <c r="G491" s="50">
        <f t="shared" si="142"/>
        <v>7556052.6400000006</v>
      </c>
      <c r="H491" s="143">
        <f t="shared" si="142"/>
        <v>2496402.44</v>
      </c>
      <c r="I491" s="143">
        <f t="shared" si="142"/>
        <v>1635602.4900000002</v>
      </c>
      <c r="J491" s="143">
        <f t="shared" si="142"/>
        <v>696109.98000000033</v>
      </c>
      <c r="K491" s="143">
        <f t="shared" si="142"/>
        <v>716864.34000000008</v>
      </c>
      <c r="L491" s="198">
        <f t="shared" si="142"/>
        <v>1916350.11</v>
      </c>
      <c r="M491" s="143">
        <f t="shared" si="142"/>
        <v>197622.32000000039</v>
      </c>
      <c r="N491" s="143">
        <f t="shared" si="142"/>
        <v>251159.15000000011</v>
      </c>
      <c r="O491" s="143">
        <f t="shared" si="142"/>
        <v>1650971.8499999994</v>
      </c>
      <c r="P491" s="143">
        <f t="shared" si="142"/>
        <v>610646.15000000014</v>
      </c>
      <c r="Q491" s="50">
        <f t="shared" si="142"/>
        <v>10171728.829999996</v>
      </c>
      <c r="R491" s="49">
        <f t="shared" si="142"/>
        <v>3899551.13</v>
      </c>
      <c r="S491" s="49"/>
      <c r="T491" s="49"/>
      <c r="U491" s="49"/>
      <c r="V491" s="49"/>
      <c r="W491" s="144">
        <f t="shared" si="142"/>
        <v>21627332.599999998</v>
      </c>
      <c r="X491" s="51">
        <f>W490+X488</f>
        <v>283422132.62999988</v>
      </c>
    </row>
    <row r="492" spans="1:25" ht="12.75" x14ac:dyDescent="0.2">
      <c r="A492" s="92"/>
      <c r="C492" s="90"/>
      <c r="D492" s="90"/>
      <c r="E492" s="90"/>
      <c r="F492" s="90"/>
      <c r="G492" s="90"/>
      <c r="I492" s="90"/>
      <c r="J492" s="90"/>
      <c r="K492" s="90"/>
      <c r="L492" s="90"/>
      <c r="M492" s="90"/>
      <c r="N492" s="90"/>
      <c r="O492" s="171"/>
      <c r="P492" s="90"/>
      <c r="Q492" s="90"/>
      <c r="R492" s="52" t="s">
        <v>118</v>
      </c>
      <c r="S492" s="52"/>
      <c r="T492" s="52"/>
      <c r="U492" s="52"/>
      <c r="V492" s="52"/>
      <c r="W492" s="90"/>
      <c r="X492" s="91"/>
    </row>
    <row r="493" spans="1:25" x14ac:dyDescent="0.2">
      <c r="B493" s="137"/>
      <c r="R493" s="1" t="s">
        <v>86</v>
      </c>
      <c r="X493" s="9"/>
    </row>
    <row r="496" spans="1:25" ht="27" x14ac:dyDescent="0.35">
      <c r="A496" s="133" t="s">
        <v>120</v>
      </c>
      <c r="B496" s="54"/>
      <c r="C496" s="122"/>
      <c r="D496" s="58"/>
      <c r="E496" s="127"/>
      <c r="F496" s="128"/>
      <c r="G496" s="127"/>
      <c r="H496" s="129"/>
      <c r="I496" s="130"/>
      <c r="J496" s="130"/>
      <c r="K496" s="130"/>
      <c r="L496" s="130"/>
      <c r="M496" s="130"/>
      <c r="N496" s="130"/>
      <c r="O496" s="130"/>
      <c r="P496" s="130"/>
      <c r="Q496" s="130"/>
      <c r="R496" s="128"/>
      <c r="S496" s="128"/>
      <c r="T496" s="128"/>
      <c r="U496" s="128"/>
      <c r="V496" s="128"/>
      <c r="W496" s="130"/>
      <c r="X496" s="131"/>
    </row>
    <row r="497" spans="1:24" ht="15.75" x14ac:dyDescent="0.25">
      <c r="A497" s="136"/>
      <c r="B497" s="170"/>
      <c r="C497" s="54"/>
      <c r="D497" s="53"/>
      <c r="E497" s="53"/>
      <c r="F497" s="132"/>
      <c r="G497" s="55"/>
      <c r="H497" s="55"/>
      <c r="I497" s="55"/>
      <c r="J497" s="54"/>
      <c r="K497" s="56"/>
      <c r="L497" s="57"/>
      <c r="M497" s="54"/>
      <c r="N497" s="54" t="s">
        <v>60</v>
      </c>
      <c r="O497" s="54"/>
      <c r="P497" s="54"/>
      <c r="Q497" s="57"/>
      <c r="R497" s="58"/>
      <c r="S497" s="58"/>
      <c r="T497" s="58"/>
      <c r="U497" s="58"/>
      <c r="V497" s="58"/>
      <c r="W497" s="54"/>
      <c r="X497" s="54"/>
    </row>
    <row r="498" spans="1:24" ht="27" x14ac:dyDescent="0.35">
      <c r="A498" s="134" t="s">
        <v>6</v>
      </c>
      <c r="B498" s="122"/>
      <c r="C498" s="122"/>
      <c r="D498" s="122"/>
      <c r="E498" s="122"/>
      <c r="F498" s="122"/>
      <c r="G498" s="122"/>
      <c r="H498" s="122"/>
      <c r="I498" s="122"/>
      <c r="J498" s="122"/>
      <c r="K498" s="122"/>
      <c r="L498" s="122"/>
      <c r="M498" s="122"/>
      <c r="N498" s="122"/>
      <c r="O498" s="122"/>
      <c r="P498" s="122"/>
      <c r="Q498" s="122"/>
      <c r="R498" s="122"/>
      <c r="S498" s="122"/>
      <c r="T498" s="122"/>
      <c r="U498" s="122"/>
      <c r="V498" s="122"/>
      <c r="W498" s="142"/>
      <c r="X498" s="122"/>
    </row>
    <row r="499" spans="1:24" ht="12" thickBot="1" x14ac:dyDescent="0.25">
      <c r="B499" s="2"/>
      <c r="C499" s="2"/>
      <c r="D499" s="2"/>
      <c r="E499" s="2"/>
      <c r="F499" s="59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 t="s">
        <v>60</v>
      </c>
      <c r="W499" s="2"/>
      <c r="X499" s="57"/>
    </row>
    <row r="500" spans="1:24" x14ac:dyDescent="0.2">
      <c r="A500" s="14"/>
      <c r="B500" s="15"/>
      <c r="C500" s="15"/>
      <c r="D500" s="15"/>
      <c r="E500" s="15"/>
      <c r="F500" s="15"/>
      <c r="G500" s="15"/>
      <c r="H500" s="15"/>
      <c r="I500" s="15"/>
      <c r="J500" s="15"/>
      <c r="K500" s="15"/>
      <c r="L500" s="15"/>
      <c r="M500" s="15"/>
      <c r="N500" s="15"/>
      <c r="O500" s="15"/>
      <c r="P500" s="15"/>
      <c r="Q500" s="15"/>
      <c r="R500" s="16"/>
      <c r="S500" s="16"/>
      <c r="T500" s="16"/>
      <c r="U500" s="16"/>
      <c r="V500" s="16"/>
      <c r="W500" s="15"/>
      <c r="X500" s="60" t="s">
        <v>60</v>
      </c>
    </row>
    <row r="501" spans="1:24" ht="13.5" thickBot="1" x14ac:dyDescent="0.25">
      <c r="A501" s="18"/>
      <c r="B501" s="61"/>
      <c r="C501" s="62"/>
      <c r="D501" s="63" t="s">
        <v>73</v>
      </c>
      <c r="E501" s="64"/>
      <c r="F501" s="64"/>
      <c r="G501" s="64"/>
      <c r="H501" s="61"/>
      <c r="I501" s="64"/>
      <c r="J501" s="64"/>
      <c r="K501" s="65" t="s">
        <v>74</v>
      </c>
      <c r="L501" s="64"/>
      <c r="M501" s="64"/>
      <c r="N501" s="64"/>
      <c r="O501" s="64"/>
      <c r="P501" s="64"/>
      <c r="Q501" s="138"/>
      <c r="R501" s="64"/>
      <c r="S501" s="64"/>
      <c r="T501" s="64"/>
      <c r="U501" s="64"/>
      <c r="V501" s="64"/>
      <c r="W501" s="66"/>
      <c r="X501" s="36" t="s">
        <v>60</v>
      </c>
    </row>
    <row r="502" spans="1:24" ht="12" x14ac:dyDescent="0.2">
      <c r="A502" s="67"/>
      <c r="B502" s="68" t="s">
        <v>11</v>
      </c>
      <c r="C502" s="68" t="s">
        <v>12</v>
      </c>
      <c r="D502" s="68" t="s">
        <v>13</v>
      </c>
      <c r="E502" s="68" t="s">
        <v>14</v>
      </c>
      <c r="F502" s="68" t="s">
        <v>15</v>
      </c>
      <c r="G502" s="69" t="s">
        <v>16</v>
      </c>
      <c r="H502" s="68" t="s">
        <v>17</v>
      </c>
      <c r="I502" s="70"/>
      <c r="J502" s="70"/>
      <c r="K502" s="70"/>
      <c r="L502" s="70"/>
      <c r="M502" s="68" t="s">
        <v>18</v>
      </c>
      <c r="N502" s="68" t="s">
        <v>19</v>
      </c>
      <c r="O502" s="68" t="s">
        <v>20</v>
      </c>
      <c r="P502" s="68" t="s">
        <v>21</v>
      </c>
      <c r="Q502" s="69" t="s">
        <v>16</v>
      </c>
      <c r="R502" s="71" t="s">
        <v>69</v>
      </c>
      <c r="S502" s="71"/>
      <c r="T502" s="71"/>
      <c r="U502" s="71"/>
      <c r="V502" s="71"/>
      <c r="W502" s="72" t="s">
        <v>7</v>
      </c>
      <c r="X502" s="73" t="s">
        <v>70</v>
      </c>
    </row>
    <row r="503" spans="1:24" ht="12.75" thickBot="1" x14ac:dyDescent="0.25">
      <c r="A503" s="75"/>
      <c r="B503" s="76" t="s">
        <v>23</v>
      </c>
      <c r="C503" s="76" t="s">
        <v>24</v>
      </c>
      <c r="D503" s="76" t="s">
        <v>25</v>
      </c>
      <c r="E503" s="76" t="s">
        <v>26</v>
      </c>
      <c r="F503" s="76" t="s">
        <v>27</v>
      </c>
      <c r="G503" s="77" t="s">
        <v>28</v>
      </c>
      <c r="H503" s="76" t="s">
        <v>29</v>
      </c>
      <c r="I503" s="76" t="s">
        <v>30</v>
      </c>
      <c r="J503" s="76" t="s">
        <v>31</v>
      </c>
      <c r="K503" s="76" t="s">
        <v>32</v>
      </c>
      <c r="L503" s="76" t="s">
        <v>33</v>
      </c>
      <c r="M503" s="76" t="s">
        <v>34</v>
      </c>
      <c r="N503" s="76" t="s">
        <v>35</v>
      </c>
      <c r="O503" s="76" t="s">
        <v>36</v>
      </c>
      <c r="P503" s="76" t="s">
        <v>37</v>
      </c>
      <c r="Q503" s="77" t="s">
        <v>28</v>
      </c>
      <c r="R503" s="78" t="s">
        <v>82</v>
      </c>
      <c r="S503" s="78"/>
      <c r="T503" s="78"/>
      <c r="U503" s="78"/>
      <c r="V503" s="78"/>
      <c r="W503" s="79" t="s">
        <v>10</v>
      </c>
      <c r="X503" s="80" t="s">
        <v>71</v>
      </c>
    </row>
    <row r="504" spans="1:24" x14ac:dyDescent="0.2">
      <c r="A504" s="18"/>
      <c r="B504" s="33"/>
      <c r="C504" s="33"/>
      <c r="D504" s="33"/>
      <c r="E504" s="33"/>
      <c r="F504" s="33"/>
      <c r="G504" s="34"/>
      <c r="H504" s="33"/>
      <c r="I504" s="33"/>
      <c r="J504" s="33"/>
      <c r="K504" s="33"/>
      <c r="L504" s="33"/>
      <c r="M504" s="33"/>
      <c r="N504" s="33"/>
      <c r="O504" s="33"/>
      <c r="P504" s="33"/>
      <c r="Q504" s="34"/>
      <c r="R504" s="35"/>
      <c r="S504" s="35"/>
      <c r="T504" s="35"/>
      <c r="U504" s="35"/>
      <c r="V504" s="35"/>
      <c r="W504" s="81"/>
      <c r="X504" s="36"/>
    </row>
    <row r="505" spans="1:24" ht="12.75" x14ac:dyDescent="0.2">
      <c r="A505" s="82" t="s">
        <v>41</v>
      </c>
      <c r="B505" s="38">
        <v>0</v>
      </c>
      <c r="C505" s="38">
        <v>66292.56</v>
      </c>
      <c r="D505" s="38">
        <v>219564.72</v>
      </c>
      <c r="E505" s="38">
        <v>92033.82</v>
      </c>
      <c r="F505" s="38">
        <v>101319.48</v>
      </c>
      <c r="G505" s="39">
        <f>SUM(B505:F505)</f>
        <v>479210.58</v>
      </c>
      <c r="H505" s="38">
        <v>29446.16</v>
      </c>
      <c r="I505" s="38">
        <v>3224.71</v>
      </c>
      <c r="J505" s="38">
        <v>49341.18</v>
      </c>
      <c r="K505" s="38">
        <v>47334.04</v>
      </c>
      <c r="L505" s="38">
        <v>79894.77</v>
      </c>
      <c r="M505" s="38">
        <v>0</v>
      </c>
      <c r="N505" s="38">
        <v>0</v>
      </c>
      <c r="O505" s="38">
        <v>128551.72</v>
      </c>
      <c r="P505" s="38">
        <v>7380.66</v>
      </c>
      <c r="Q505" s="39">
        <f>SUM(H505:P505)</f>
        <v>345173.23999999993</v>
      </c>
      <c r="R505" s="38">
        <v>684435.03</v>
      </c>
      <c r="S505" s="38"/>
      <c r="T505" s="38"/>
      <c r="U505" s="38"/>
      <c r="V505" s="38"/>
      <c r="W505" s="83">
        <f>Q505+G505+R505</f>
        <v>1508818.85</v>
      </c>
      <c r="X505" s="41"/>
    </row>
    <row r="506" spans="1:24" ht="12.75" x14ac:dyDescent="0.2">
      <c r="A506" s="82" t="s">
        <v>42</v>
      </c>
      <c r="B506" s="141">
        <f t="shared" ref="B506:W506" si="143">B491+B505-B457</f>
        <v>34753.340000000011</v>
      </c>
      <c r="C506" s="141">
        <f t="shared" si="143"/>
        <v>1195019.8400000003</v>
      </c>
      <c r="D506" s="141">
        <f t="shared" si="143"/>
        <v>2545806.6599999997</v>
      </c>
      <c r="E506" s="141">
        <f t="shared" si="143"/>
        <v>2061100.6199999996</v>
      </c>
      <c r="F506" s="141">
        <f t="shared" si="143"/>
        <v>1452187.5499999993</v>
      </c>
      <c r="G506" s="172">
        <f t="shared" si="143"/>
        <v>7288868.0100000007</v>
      </c>
      <c r="H506" s="141">
        <f t="shared" si="143"/>
        <v>2465768.89</v>
      </c>
      <c r="I506" s="141">
        <f t="shared" si="143"/>
        <v>1638827.2000000002</v>
      </c>
      <c r="J506" s="141">
        <f t="shared" si="143"/>
        <v>687293.20000000042</v>
      </c>
      <c r="K506" s="141">
        <f t="shared" si="143"/>
        <v>708929.50000000012</v>
      </c>
      <c r="L506" s="141">
        <f t="shared" si="143"/>
        <v>1863687.29</v>
      </c>
      <c r="M506" s="141">
        <f t="shared" si="143"/>
        <v>197622.32000000039</v>
      </c>
      <c r="N506" s="141">
        <f t="shared" si="143"/>
        <v>199177.2300000001</v>
      </c>
      <c r="O506" s="141">
        <f t="shared" si="143"/>
        <v>1655632.2899999993</v>
      </c>
      <c r="P506" s="141">
        <f t="shared" si="143"/>
        <v>618026.81000000017</v>
      </c>
      <c r="Q506" s="39">
        <f t="shared" si="143"/>
        <v>10034964.729999997</v>
      </c>
      <c r="R506" s="141">
        <f t="shared" si="143"/>
        <v>4486367.3500000006</v>
      </c>
      <c r="S506" s="141"/>
      <c r="T506" s="141"/>
      <c r="U506" s="141"/>
      <c r="V506" s="141"/>
      <c r="W506" s="83">
        <f t="shared" si="143"/>
        <v>21810200.09</v>
      </c>
      <c r="X506" s="41">
        <f>X491+W505</f>
        <v>284930951.4799999</v>
      </c>
    </row>
    <row r="507" spans="1:24" ht="12.75" x14ac:dyDescent="0.2">
      <c r="A507" s="85"/>
      <c r="B507" s="38"/>
      <c r="C507" s="38"/>
      <c r="D507" s="38"/>
      <c r="E507" s="38"/>
      <c r="F507" s="38"/>
      <c r="G507" s="39"/>
      <c r="H507" s="38"/>
      <c r="I507" s="38"/>
      <c r="J507" s="38"/>
      <c r="K507" s="38"/>
      <c r="L507" s="38"/>
      <c r="M507" s="38"/>
      <c r="N507" s="38"/>
      <c r="O507" s="38"/>
      <c r="P507" s="38"/>
      <c r="Q507" s="39" t="s">
        <v>60</v>
      </c>
      <c r="R507" s="43"/>
      <c r="S507" s="43"/>
      <c r="T507" s="43"/>
      <c r="U507" s="43"/>
      <c r="V507" s="43"/>
      <c r="W507" s="83"/>
      <c r="X507" s="41"/>
    </row>
    <row r="508" spans="1:24" ht="12.75" x14ac:dyDescent="0.2">
      <c r="A508" s="82" t="s">
        <v>43</v>
      </c>
      <c r="B508" s="38">
        <v>0</v>
      </c>
      <c r="C508" s="38">
        <v>58064.76</v>
      </c>
      <c r="D508" s="38">
        <v>177250.32</v>
      </c>
      <c r="E508" s="38">
        <v>45135.360000000001</v>
      </c>
      <c r="F508" s="38">
        <v>59475.24</v>
      </c>
      <c r="G508" s="39">
        <f>SUM(B508:F508)</f>
        <v>339925.68</v>
      </c>
      <c r="H508" s="38">
        <v>51422.720000000001</v>
      </c>
      <c r="I508" s="38">
        <v>0</v>
      </c>
      <c r="J508" s="38">
        <v>43046.080000000002</v>
      </c>
      <c r="K508" s="38">
        <v>40888.949999999997</v>
      </c>
      <c r="L508" s="38">
        <v>93975.31</v>
      </c>
      <c r="M508" s="38">
        <v>0</v>
      </c>
      <c r="N508" s="38">
        <v>0</v>
      </c>
      <c r="O508" s="38">
        <v>113947.47</v>
      </c>
      <c r="P508" s="38">
        <v>0</v>
      </c>
      <c r="Q508" s="39">
        <f>SUM(H508:P508)</f>
        <v>343280.53</v>
      </c>
      <c r="R508" s="38">
        <v>456022.01</v>
      </c>
      <c r="S508" s="38"/>
      <c r="T508" s="38"/>
      <c r="U508" s="38"/>
      <c r="V508" s="38"/>
      <c r="W508" s="83">
        <f>Q508+G508+R508</f>
        <v>1139228.22</v>
      </c>
      <c r="X508" s="41"/>
    </row>
    <row r="509" spans="1:24" ht="12.75" x14ac:dyDescent="0.2">
      <c r="A509" s="82" t="s">
        <v>42</v>
      </c>
      <c r="B509" s="141">
        <f t="shared" ref="B509:W509" si="144">B506+B508-B460</f>
        <v>30202.310000000012</v>
      </c>
      <c r="C509" s="141">
        <f t="shared" si="144"/>
        <v>1181457.5500000003</v>
      </c>
      <c r="D509" s="141">
        <f t="shared" si="144"/>
        <v>2559633.5399999996</v>
      </c>
      <c r="E509" s="141">
        <f t="shared" si="144"/>
        <v>1897172.9199999995</v>
      </c>
      <c r="F509" s="141">
        <f t="shared" si="144"/>
        <v>1391422.4399999992</v>
      </c>
      <c r="G509" s="39">
        <f t="shared" si="144"/>
        <v>7059888.7600000007</v>
      </c>
      <c r="H509" s="141">
        <f t="shared" si="144"/>
        <v>2454756.7800000003</v>
      </c>
      <c r="I509" s="141">
        <f t="shared" si="144"/>
        <v>1638827.2000000002</v>
      </c>
      <c r="J509" s="141">
        <f t="shared" si="144"/>
        <v>703961.79000000039</v>
      </c>
      <c r="K509" s="141">
        <f t="shared" si="144"/>
        <v>725296.21000000008</v>
      </c>
      <c r="L509" s="141">
        <f t="shared" si="144"/>
        <v>1817682.37</v>
      </c>
      <c r="M509" s="141">
        <f t="shared" si="144"/>
        <v>197622.32000000039</v>
      </c>
      <c r="N509" s="141">
        <f t="shared" si="144"/>
        <v>156863.96000000011</v>
      </c>
      <c r="O509" s="141">
        <f t="shared" si="144"/>
        <v>1649953.6199999994</v>
      </c>
      <c r="P509" s="141">
        <f t="shared" si="144"/>
        <v>618026.81000000017</v>
      </c>
      <c r="Q509" s="39">
        <f t="shared" si="144"/>
        <v>9962991.0599999968</v>
      </c>
      <c r="R509" s="38">
        <f t="shared" si="144"/>
        <v>4769370.8000000007</v>
      </c>
      <c r="S509" s="38"/>
      <c r="T509" s="38"/>
      <c r="U509" s="38"/>
      <c r="V509" s="38"/>
      <c r="W509" s="140">
        <f t="shared" si="144"/>
        <v>21792250.619999997</v>
      </c>
      <c r="X509" s="41">
        <f>W508+X506</f>
        <v>286070179.69999993</v>
      </c>
    </row>
    <row r="510" spans="1:24" ht="12.75" x14ac:dyDescent="0.2">
      <c r="A510" s="85"/>
      <c r="B510" s="44"/>
      <c r="C510" s="44"/>
      <c r="D510" s="44"/>
      <c r="E510" s="44"/>
      <c r="F510" s="44"/>
      <c r="G510" s="45"/>
      <c r="H510" s="44"/>
      <c r="I510" s="44"/>
      <c r="J510" s="44"/>
      <c r="K510" s="44"/>
      <c r="L510" s="44"/>
      <c r="M510" s="44"/>
      <c r="N510" s="44"/>
      <c r="O510" s="44"/>
      <c r="P510" s="44"/>
      <c r="Q510" s="45"/>
      <c r="R510" s="43"/>
      <c r="S510" s="43"/>
      <c r="T510" s="43"/>
      <c r="U510" s="43"/>
      <c r="V510" s="43"/>
      <c r="W510" s="86"/>
      <c r="X510" s="46"/>
    </row>
    <row r="511" spans="1:24" ht="12.75" x14ac:dyDescent="0.2">
      <c r="A511" s="82" t="s">
        <v>44</v>
      </c>
      <c r="B511" s="38">
        <v>0</v>
      </c>
      <c r="C511" s="38">
        <v>67232.88</v>
      </c>
      <c r="D511" s="38">
        <v>177720.48</v>
      </c>
      <c r="E511" s="38">
        <v>63118.98</v>
      </c>
      <c r="F511" s="38">
        <v>87214.68</v>
      </c>
      <c r="G511" s="39">
        <f>SUM(B511:F511)</f>
        <v>395287.02</v>
      </c>
      <c r="H511" s="38">
        <v>58526.01</v>
      </c>
      <c r="I511" s="38">
        <v>0</v>
      </c>
      <c r="J511" s="38">
        <v>65272.01</v>
      </c>
      <c r="K511" s="38">
        <v>65271.44</v>
      </c>
      <c r="L511" s="38">
        <v>94656.28</v>
      </c>
      <c r="M511" s="38">
        <v>0</v>
      </c>
      <c r="N511" s="38">
        <v>16681.38</v>
      </c>
      <c r="O511" s="38">
        <v>112826.92</v>
      </c>
      <c r="P511" s="38">
        <v>0</v>
      </c>
      <c r="Q511" s="39">
        <f>SUM(H511:P511)</f>
        <v>413234.04</v>
      </c>
      <c r="R511" s="38">
        <v>552643.82999999996</v>
      </c>
      <c r="S511" s="38"/>
      <c r="T511" s="38"/>
      <c r="U511" s="38"/>
      <c r="V511" s="38"/>
      <c r="W511" s="83">
        <f>Q511+G511+R511</f>
        <v>1361164.8900000001</v>
      </c>
      <c r="X511" s="41"/>
    </row>
    <row r="512" spans="1:24" ht="12.75" x14ac:dyDescent="0.2">
      <c r="A512" s="82" t="s">
        <v>42</v>
      </c>
      <c r="B512" s="141">
        <f t="shared" ref="B512:W512" si="145">B509+B511-B463</f>
        <v>22548.30000000001</v>
      </c>
      <c r="C512" s="141">
        <f t="shared" si="145"/>
        <v>1177580.5400000003</v>
      </c>
      <c r="D512" s="141">
        <f t="shared" si="145"/>
        <v>2605994.6699999995</v>
      </c>
      <c r="E512" s="141">
        <f t="shared" si="145"/>
        <v>1725629.2799999993</v>
      </c>
      <c r="F512" s="141">
        <f t="shared" si="145"/>
        <v>1360982.5799999991</v>
      </c>
      <c r="G512" s="39">
        <f t="shared" si="145"/>
        <v>6892735.370000001</v>
      </c>
      <c r="H512" s="141">
        <f t="shared" si="145"/>
        <v>2427714.46</v>
      </c>
      <c r="I512" s="141">
        <f t="shared" si="145"/>
        <v>1638827.2000000002</v>
      </c>
      <c r="J512" s="141">
        <f t="shared" si="145"/>
        <v>743886.21000000043</v>
      </c>
      <c r="K512" s="141">
        <f t="shared" si="145"/>
        <v>764423.87000000011</v>
      </c>
      <c r="L512" s="141">
        <f t="shared" si="145"/>
        <v>1756658.04</v>
      </c>
      <c r="M512" s="141">
        <f t="shared" si="145"/>
        <v>197622.32000000039</v>
      </c>
      <c r="N512" s="141">
        <f t="shared" si="145"/>
        <v>126530.21000000011</v>
      </c>
      <c r="O512" s="141">
        <f t="shared" si="145"/>
        <v>1635345.2899999993</v>
      </c>
      <c r="P512" s="141">
        <f t="shared" si="145"/>
        <v>618026.81000000017</v>
      </c>
      <c r="Q512" s="39">
        <f t="shared" si="145"/>
        <v>9909034.4099999964</v>
      </c>
      <c r="R512" s="38">
        <f t="shared" si="145"/>
        <v>5066653.3800000008</v>
      </c>
      <c r="S512" s="38"/>
      <c r="T512" s="38"/>
      <c r="U512" s="38"/>
      <c r="V512" s="38"/>
      <c r="W512" s="140">
        <f t="shared" si="145"/>
        <v>21868423.159999996</v>
      </c>
      <c r="X512" s="41">
        <f>W511+X509</f>
        <v>287431344.58999991</v>
      </c>
    </row>
    <row r="513" spans="1:24" ht="12.75" x14ac:dyDescent="0.2">
      <c r="A513" s="85"/>
      <c r="B513" s="43"/>
      <c r="C513" s="43"/>
      <c r="D513" s="43"/>
      <c r="E513" s="43"/>
      <c r="F513" s="43"/>
      <c r="G513" s="47"/>
      <c r="H513" s="43"/>
      <c r="I513" s="43"/>
      <c r="J513" s="43"/>
      <c r="K513" s="43"/>
      <c r="L513" s="43"/>
      <c r="M513" s="43"/>
      <c r="N513" s="43"/>
      <c r="O513" s="43"/>
      <c r="P513" s="43"/>
      <c r="Q513" s="47"/>
      <c r="R513" s="43"/>
      <c r="S513" s="43"/>
      <c r="T513" s="43"/>
      <c r="U513" s="43"/>
      <c r="V513" s="43"/>
      <c r="W513" s="87"/>
      <c r="X513" s="46"/>
    </row>
    <row r="514" spans="1:24" ht="12.75" x14ac:dyDescent="0.2">
      <c r="A514" s="82" t="s">
        <v>45</v>
      </c>
      <c r="B514" s="38">
        <v>0</v>
      </c>
      <c r="C514" s="38">
        <v>106961.4</v>
      </c>
      <c r="D514" s="38">
        <v>213922.8</v>
      </c>
      <c r="E514" s="38">
        <v>163615.67999999999</v>
      </c>
      <c r="F514" s="38">
        <v>115894.44</v>
      </c>
      <c r="G514" s="39">
        <f>SUM(B514:F514)</f>
        <v>600394.31999999995</v>
      </c>
      <c r="H514" s="38">
        <v>128119.08</v>
      </c>
      <c r="I514" s="38">
        <v>0</v>
      </c>
      <c r="J514" s="38">
        <v>59147.13</v>
      </c>
      <c r="K514" s="38">
        <v>62271.3</v>
      </c>
      <c r="L514" s="38">
        <v>29679.34</v>
      </c>
      <c r="M514" s="38">
        <v>0</v>
      </c>
      <c r="N514" s="38">
        <v>24804.15</v>
      </c>
      <c r="O514" s="38">
        <v>123530.93</v>
      </c>
      <c r="P514" s="38">
        <v>52480.71</v>
      </c>
      <c r="Q514" s="39">
        <f>SUM(H514:P514)</f>
        <v>480032.64000000007</v>
      </c>
      <c r="R514" s="38">
        <v>230741.16</v>
      </c>
      <c r="S514" s="38"/>
      <c r="T514" s="38"/>
      <c r="U514" s="38"/>
      <c r="V514" s="38"/>
      <c r="W514" s="83">
        <f>Q514+G514+R514</f>
        <v>1311168.1199999999</v>
      </c>
      <c r="X514" s="41"/>
    </row>
    <row r="515" spans="1:24" ht="12.75" x14ac:dyDescent="0.2">
      <c r="A515" s="82" t="s">
        <v>42</v>
      </c>
      <c r="B515" s="141">
        <f t="shared" ref="B515:W515" si="146">B512+B514-B466</f>
        <v>1861.7900000000118</v>
      </c>
      <c r="C515" s="141">
        <f t="shared" si="146"/>
        <v>1165077.33</v>
      </c>
      <c r="D515" s="141">
        <f t="shared" si="146"/>
        <v>2570644.9999999991</v>
      </c>
      <c r="E515" s="141">
        <f t="shared" si="146"/>
        <v>1716253.9999999993</v>
      </c>
      <c r="F515" s="141">
        <f t="shared" si="146"/>
        <v>1340863.199999999</v>
      </c>
      <c r="G515" s="39">
        <f t="shared" si="146"/>
        <v>6794701.3200000012</v>
      </c>
      <c r="H515" s="141">
        <f t="shared" si="146"/>
        <v>2383471.2000000002</v>
      </c>
      <c r="I515" s="141">
        <f t="shared" si="146"/>
        <v>1545667.2400000002</v>
      </c>
      <c r="J515" s="141">
        <f t="shared" si="146"/>
        <v>740277.46000000043</v>
      </c>
      <c r="K515" s="141">
        <f t="shared" si="146"/>
        <v>761818.52000000014</v>
      </c>
      <c r="L515" s="141">
        <f t="shared" si="146"/>
        <v>1655436.5</v>
      </c>
      <c r="M515" s="141">
        <f t="shared" si="146"/>
        <v>197622.32000000039</v>
      </c>
      <c r="N515" s="141">
        <f t="shared" si="146"/>
        <v>128439.3100000001</v>
      </c>
      <c r="O515" s="141">
        <f t="shared" si="146"/>
        <v>1648334.3699999992</v>
      </c>
      <c r="P515" s="141">
        <f t="shared" si="146"/>
        <v>670507.52000000014</v>
      </c>
      <c r="Q515" s="39">
        <f t="shared" si="146"/>
        <v>9731574.4399999976</v>
      </c>
      <c r="R515" s="38">
        <f t="shared" si="146"/>
        <v>5132599.0500000007</v>
      </c>
      <c r="S515" s="38"/>
      <c r="T515" s="38"/>
      <c r="U515" s="38"/>
      <c r="V515" s="38"/>
      <c r="W515" s="140">
        <f t="shared" si="146"/>
        <v>21658874.809999999</v>
      </c>
      <c r="X515" s="41">
        <f>W514+X512</f>
        <v>288742512.70999992</v>
      </c>
    </row>
    <row r="516" spans="1:24" ht="12.75" x14ac:dyDescent="0.2">
      <c r="A516" s="85"/>
      <c r="B516" s="44"/>
      <c r="C516" s="44"/>
      <c r="D516" s="44"/>
      <c r="E516" s="44"/>
      <c r="F516" s="44"/>
      <c r="G516" s="45"/>
      <c r="H516" s="44"/>
      <c r="I516" s="44"/>
      <c r="J516" s="44"/>
      <c r="K516" s="44"/>
      <c r="L516" s="44"/>
      <c r="M516" s="44"/>
      <c r="N516" s="44"/>
      <c r="O516" s="44"/>
      <c r="P516" s="44"/>
      <c r="Q516" s="45"/>
      <c r="R516" s="43"/>
      <c r="S516" s="43"/>
      <c r="T516" s="43"/>
      <c r="U516" s="43"/>
      <c r="V516" s="43"/>
      <c r="W516" s="86"/>
      <c r="X516" s="46"/>
    </row>
    <row r="517" spans="1:24" ht="12.75" x14ac:dyDescent="0.2">
      <c r="A517" s="82" t="s">
        <v>46</v>
      </c>
      <c r="B517" s="38">
        <v>13352.54</v>
      </c>
      <c r="C517" s="38">
        <v>98843.78</v>
      </c>
      <c r="D517" s="38">
        <v>215871.93</v>
      </c>
      <c r="E517" s="38">
        <v>92042.62</v>
      </c>
      <c r="F517" s="38">
        <v>126264.23</v>
      </c>
      <c r="G517" s="39">
        <f>SUM(B517:F517)</f>
        <v>546375.1</v>
      </c>
      <c r="H517" s="38">
        <v>121216.68</v>
      </c>
      <c r="I517" s="38">
        <v>0</v>
      </c>
      <c r="J517" s="38">
        <v>48763.49</v>
      </c>
      <c r="K517" s="38">
        <v>34415.35</v>
      </c>
      <c r="L517" s="38">
        <v>117352.77</v>
      </c>
      <c r="M517" s="38">
        <v>0</v>
      </c>
      <c r="N517" s="38">
        <v>33729.33</v>
      </c>
      <c r="O517" s="38">
        <v>128760.1</v>
      </c>
      <c r="P517" s="38">
        <v>0</v>
      </c>
      <c r="Q517" s="39">
        <f>SUM(H517:P517)</f>
        <v>484237.72</v>
      </c>
      <c r="R517" s="38">
        <v>441568.25</v>
      </c>
      <c r="S517" s="38"/>
      <c r="T517" s="38"/>
      <c r="U517" s="38"/>
      <c r="V517" s="38"/>
      <c r="W517" s="83">
        <f>Q517+G517+R517</f>
        <v>1472181.0699999998</v>
      </c>
      <c r="X517" s="41"/>
    </row>
    <row r="518" spans="1:24" ht="12.75" x14ac:dyDescent="0.2">
      <c r="A518" s="82" t="s">
        <v>42</v>
      </c>
      <c r="B518" s="141">
        <f t="shared" ref="B518:W518" si="147">B515+B517-B469</f>
        <v>15214.330000000013</v>
      </c>
      <c r="C518" s="141">
        <f t="shared" si="147"/>
        <v>1143422.1800000002</v>
      </c>
      <c r="D518" s="141">
        <f t="shared" si="147"/>
        <v>2521212.4099999992</v>
      </c>
      <c r="E518" s="141">
        <f t="shared" si="147"/>
        <v>1634142.0499999991</v>
      </c>
      <c r="F518" s="141">
        <f t="shared" si="147"/>
        <v>1355420.2699999991</v>
      </c>
      <c r="G518" s="39">
        <f t="shared" si="147"/>
        <v>6669411.2400000012</v>
      </c>
      <c r="H518" s="141">
        <f t="shared" si="147"/>
        <v>2333348.7300000004</v>
      </c>
      <c r="I518" s="141">
        <f t="shared" si="147"/>
        <v>1491639.5100000002</v>
      </c>
      <c r="J518" s="141">
        <f t="shared" si="147"/>
        <v>752348.19000000041</v>
      </c>
      <c r="K518" s="141">
        <f t="shared" si="147"/>
        <v>745348.79000000015</v>
      </c>
      <c r="L518" s="141">
        <f t="shared" si="147"/>
        <v>1642887.2</v>
      </c>
      <c r="M518" s="141">
        <f t="shared" si="147"/>
        <v>178975.42000000039</v>
      </c>
      <c r="N518" s="141">
        <f t="shared" si="147"/>
        <v>157611.7300000001</v>
      </c>
      <c r="O518" s="141">
        <f t="shared" si="147"/>
        <v>1650749.7299999993</v>
      </c>
      <c r="P518" s="141">
        <f t="shared" si="147"/>
        <v>670507.52000000014</v>
      </c>
      <c r="Q518" s="39">
        <f t="shared" si="147"/>
        <v>9623416.8199999984</v>
      </c>
      <c r="R518" s="38">
        <f t="shared" si="147"/>
        <v>5386068.7800000012</v>
      </c>
      <c r="S518" s="38"/>
      <c r="T518" s="38"/>
      <c r="U518" s="38"/>
      <c r="V518" s="38"/>
      <c r="W518" s="140">
        <f t="shared" si="147"/>
        <v>21678896.84</v>
      </c>
      <c r="X518" s="41">
        <f>W517+X515</f>
        <v>290214693.77999991</v>
      </c>
    </row>
    <row r="519" spans="1:24" ht="12.75" x14ac:dyDescent="0.2">
      <c r="A519" s="85"/>
      <c r="B519" s="44"/>
      <c r="C519" s="44"/>
      <c r="D519" s="44"/>
      <c r="E519" s="44"/>
      <c r="F519" s="44"/>
      <c r="G519" s="45"/>
      <c r="H519" s="44"/>
      <c r="I519" s="44"/>
      <c r="J519" s="44"/>
      <c r="K519" s="44"/>
      <c r="L519" s="44"/>
      <c r="M519" s="44"/>
      <c r="N519" s="44"/>
      <c r="O519" s="44"/>
      <c r="P519" s="44"/>
      <c r="Q519" s="45"/>
      <c r="R519" s="43"/>
      <c r="S519" s="43"/>
      <c r="T519" s="43"/>
      <c r="U519" s="43"/>
      <c r="V519" s="43"/>
      <c r="W519" s="86"/>
      <c r="X519" s="46"/>
    </row>
    <row r="520" spans="1:24" ht="12.75" x14ac:dyDescent="0.2">
      <c r="A520" s="82" t="s">
        <v>47</v>
      </c>
      <c r="B520" s="38">
        <v>16925.759999999998</v>
      </c>
      <c r="C520" s="38">
        <v>126473.04</v>
      </c>
      <c r="D520" s="38">
        <v>220505.04</v>
      </c>
      <c r="E520" s="38">
        <v>93444.3</v>
      </c>
      <c r="F520" s="38">
        <v>128118.6</v>
      </c>
      <c r="G520" s="39">
        <f>SUM(B520:F520)</f>
        <v>585466.74</v>
      </c>
      <c r="H520" s="38">
        <v>241631.64</v>
      </c>
      <c r="I520" s="38">
        <v>0</v>
      </c>
      <c r="J520" s="38">
        <v>89574.25</v>
      </c>
      <c r="K520" s="38">
        <v>84945.57</v>
      </c>
      <c r="L520" s="38">
        <v>193093.6</v>
      </c>
      <c r="M520" s="38">
        <v>4044.74</v>
      </c>
      <c r="N520" s="38">
        <v>51761.51</v>
      </c>
      <c r="O520" s="38">
        <v>206150.97</v>
      </c>
      <c r="P520" s="38">
        <v>0</v>
      </c>
      <c r="Q520" s="39">
        <f>SUM(H520:P520)</f>
        <v>871202.28</v>
      </c>
      <c r="R520" s="38">
        <v>235212.74</v>
      </c>
      <c r="S520" s="38"/>
      <c r="T520" s="38"/>
      <c r="U520" s="38"/>
      <c r="V520" s="38"/>
      <c r="W520" s="83">
        <f>Q520+G520+R520</f>
        <v>1691881.76</v>
      </c>
      <c r="X520" s="41"/>
    </row>
    <row r="521" spans="1:24" ht="12.75" x14ac:dyDescent="0.2">
      <c r="A521" s="82" t="s">
        <v>42</v>
      </c>
      <c r="B521" s="141">
        <f t="shared" ref="B521:W521" si="148">B518+B520-B472</f>
        <v>32140.090000000011</v>
      </c>
      <c r="C521" s="141">
        <f t="shared" si="148"/>
        <v>1132847.08</v>
      </c>
      <c r="D521" s="141">
        <f t="shared" si="148"/>
        <v>2497616.6099999994</v>
      </c>
      <c r="E521" s="141">
        <f t="shared" si="148"/>
        <v>1580582.8199999991</v>
      </c>
      <c r="F521" s="141">
        <f t="shared" si="148"/>
        <v>1369245.8899999992</v>
      </c>
      <c r="G521" s="39">
        <f t="shared" si="148"/>
        <v>6612432.4900000012</v>
      </c>
      <c r="H521" s="141">
        <f t="shared" si="148"/>
        <v>2225504.7400000007</v>
      </c>
      <c r="I521" s="141">
        <f t="shared" si="148"/>
        <v>1230104.4700000002</v>
      </c>
      <c r="J521" s="141">
        <f t="shared" si="148"/>
        <v>743097.78000000038</v>
      </c>
      <c r="K521" s="141">
        <f t="shared" si="148"/>
        <v>731963.70000000007</v>
      </c>
      <c r="L521" s="141">
        <f t="shared" si="148"/>
        <v>1668781.07</v>
      </c>
      <c r="M521" s="141">
        <f t="shared" si="148"/>
        <v>141824.71000000037</v>
      </c>
      <c r="N521" s="141">
        <f t="shared" si="148"/>
        <v>209373.24000000011</v>
      </c>
      <c r="O521" s="141">
        <f t="shared" si="148"/>
        <v>1656082.5199999993</v>
      </c>
      <c r="P521" s="141">
        <f t="shared" si="148"/>
        <v>610460.54000000015</v>
      </c>
      <c r="Q521" s="39">
        <f t="shared" si="148"/>
        <v>9217192.7699999977</v>
      </c>
      <c r="R521" s="38">
        <f t="shared" si="148"/>
        <v>5421113.3600000013</v>
      </c>
      <c r="S521" s="38"/>
      <c r="T521" s="38"/>
      <c r="U521" s="38"/>
      <c r="V521" s="38"/>
      <c r="W521" s="140">
        <f t="shared" si="148"/>
        <v>21250738.620000001</v>
      </c>
      <c r="X521" s="41">
        <f>W520+X518</f>
        <v>291906575.5399999</v>
      </c>
    </row>
    <row r="522" spans="1:24" ht="12.75" x14ac:dyDescent="0.2">
      <c r="A522" s="85"/>
      <c r="B522" s="43"/>
      <c r="C522" s="43"/>
      <c r="D522" s="43"/>
      <c r="E522" s="43"/>
      <c r="F522" s="43"/>
      <c r="G522" s="47"/>
      <c r="H522" s="43"/>
      <c r="I522" s="43"/>
      <c r="J522" s="43"/>
      <c r="K522" s="43"/>
      <c r="L522" s="43"/>
      <c r="M522" s="43"/>
      <c r="N522" s="43"/>
      <c r="O522" s="43"/>
      <c r="P522" s="43"/>
      <c r="Q522" s="47"/>
      <c r="R522" s="43"/>
      <c r="S522" s="43"/>
      <c r="T522" s="43"/>
      <c r="U522" s="43"/>
      <c r="V522" s="43"/>
      <c r="W522" s="87"/>
      <c r="X522" s="46"/>
    </row>
    <row r="523" spans="1:24" ht="12.75" x14ac:dyDescent="0.2">
      <c r="A523" s="82" t="s">
        <v>48</v>
      </c>
      <c r="B523" s="38">
        <v>22003.49</v>
      </c>
      <c r="C523" s="38">
        <v>121301.28</v>
      </c>
      <c r="D523" s="38">
        <v>207340.56</v>
      </c>
      <c r="E523" s="38">
        <v>83570.94</v>
      </c>
      <c r="F523" s="38">
        <v>85334.04</v>
      </c>
      <c r="G523" s="39">
        <f>SUM(B523:F523)</f>
        <v>519550.30999999994</v>
      </c>
      <c r="H523" s="38">
        <v>222042.4</v>
      </c>
      <c r="I523" s="38">
        <v>44892.73</v>
      </c>
      <c r="J523" s="38">
        <v>106183.26</v>
      </c>
      <c r="K523" s="38">
        <v>111637.2</v>
      </c>
      <c r="L523" s="38">
        <v>161568.94</v>
      </c>
      <c r="M523" s="38">
        <v>31114.44</v>
      </c>
      <c r="N523" s="38">
        <v>60779.519999999997</v>
      </c>
      <c r="O523" s="38">
        <v>208641.71</v>
      </c>
      <c r="P523" s="38">
        <v>0</v>
      </c>
      <c r="Q523" s="39">
        <f>SUM(H523:P523)</f>
        <v>946860.2</v>
      </c>
      <c r="R523" s="38">
        <v>215080.25</v>
      </c>
      <c r="S523" s="38"/>
      <c r="T523" s="38"/>
      <c r="U523" s="38"/>
      <c r="V523" s="38"/>
      <c r="W523" s="83">
        <f>Q523+G523+R523</f>
        <v>1681490.7599999998</v>
      </c>
      <c r="X523" s="41"/>
    </row>
    <row r="524" spans="1:24" ht="12.75" x14ac:dyDescent="0.2">
      <c r="A524" s="82" t="s">
        <v>42</v>
      </c>
      <c r="B524" s="141">
        <f t="shared" ref="B524:W524" si="149">B521+B523-B475</f>
        <v>54143.580000000016</v>
      </c>
      <c r="C524" s="141">
        <f t="shared" si="149"/>
        <v>1113738.6600000001</v>
      </c>
      <c r="D524" s="141">
        <f t="shared" si="149"/>
        <v>2440686.9799999995</v>
      </c>
      <c r="E524" s="141">
        <f t="shared" si="149"/>
        <v>1506289.8199999991</v>
      </c>
      <c r="F524" s="141">
        <f t="shared" si="149"/>
        <v>1317531.7899999991</v>
      </c>
      <c r="G524" s="39">
        <f t="shared" si="149"/>
        <v>6432390.830000001</v>
      </c>
      <c r="H524" s="141">
        <f t="shared" si="149"/>
        <v>2100649.7200000007</v>
      </c>
      <c r="I524" s="141">
        <f t="shared" si="149"/>
        <v>1014235.4200000002</v>
      </c>
      <c r="J524" s="141">
        <f t="shared" si="149"/>
        <v>765113.44000000041</v>
      </c>
      <c r="K524" s="141">
        <f t="shared" si="149"/>
        <v>750537.59000000008</v>
      </c>
      <c r="L524" s="141">
        <f t="shared" si="149"/>
        <v>1628930.61</v>
      </c>
      <c r="M524" s="141">
        <f t="shared" si="149"/>
        <v>132921.26000000036</v>
      </c>
      <c r="N524" s="141">
        <f t="shared" si="149"/>
        <v>270152.76000000013</v>
      </c>
      <c r="O524" s="141">
        <f t="shared" si="149"/>
        <v>1675155.7599999993</v>
      </c>
      <c r="P524" s="141">
        <f t="shared" si="149"/>
        <v>469183.74000000017</v>
      </c>
      <c r="Q524" s="39">
        <f t="shared" si="149"/>
        <v>8806880.299999997</v>
      </c>
      <c r="R524" s="38">
        <f t="shared" si="149"/>
        <v>5353842.3900000015</v>
      </c>
      <c r="S524" s="38"/>
      <c r="T524" s="38"/>
      <c r="U524" s="38"/>
      <c r="V524" s="38"/>
      <c r="W524" s="140">
        <f t="shared" si="149"/>
        <v>20593113.520000003</v>
      </c>
      <c r="X524" s="41">
        <f>W523+X521</f>
        <v>293588066.29999989</v>
      </c>
    </row>
    <row r="525" spans="1:24" ht="12.75" x14ac:dyDescent="0.2">
      <c r="A525" s="85"/>
      <c r="B525" s="44"/>
      <c r="C525" s="44"/>
      <c r="D525" s="44"/>
      <c r="E525" s="44"/>
      <c r="F525" s="44"/>
      <c r="G525" s="45"/>
      <c r="H525" s="44"/>
      <c r="I525" s="44"/>
      <c r="J525" s="44"/>
      <c r="K525" s="44"/>
      <c r="L525" s="44"/>
      <c r="M525" s="44"/>
      <c r="N525" s="44"/>
      <c r="O525" s="44"/>
      <c r="P525" s="44"/>
      <c r="Q525" s="45"/>
      <c r="R525" s="43"/>
      <c r="S525" s="43"/>
      <c r="T525" s="43"/>
      <c r="U525" s="43"/>
      <c r="V525" s="43"/>
      <c r="W525" s="86"/>
      <c r="X525" s="46"/>
    </row>
    <row r="526" spans="1:24" ht="12.75" x14ac:dyDescent="0.2">
      <c r="A526" s="82" t="s">
        <v>49</v>
      </c>
      <c r="B526" s="38">
        <v>14668.99</v>
      </c>
      <c r="C526" s="38">
        <v>92151.360000000001</v>
      </c>
      <c r="D526" s="38">
        <v>194176.08</v>
      </c>
      <c r="E526" s="38">
        <v>81455.22</v>
      </c>
      <c r="F526" s="38">
        <v>86979.6</v>
      </c>
      <c r="G526" s="39">
        <f>SUM(B526:F526)</f>
        <v>469431.25</v>
      </c>
      <c r="H526" s="38">
        <v>162074.82</v>
      </c>
      <c r="I526" s="38">
        <v>68948.03</v>
      </c>
      <c r="J526" s="38">
        <v>96448.23</v>
      </c>
      <c r="K526" s="38">
        <v>100891.13</v>
      </c>
      <c r="L526" s="38">
        <v>146707.22</v>
      </c>
      <c r="M526" s="38">
        <v>36011.18</v>
      </c>
      <c r="N526" s="38">
        <v>77406.59</v>
      </c>
      <c r="O526" s="38">
        <v>220537.41</v>
      </c>
      <c r="P526" s="38">
        <v>7868.57</v>
      </c>
      <c r="Q526" s="39">
        <f>SUM(H526:P526)</f>
        <v>916893.18</v>
      </c>
      <c r="R526" s="38">
        <v>228363.19</v>
      </c>
      <c r="S526" s="38"/>
      <c r="T526" s="38"/>
      <c r="U526" s="38"/>
      <c r="V526" s="38"/>
      <c r="W526" s="83">
        <f>Q526+G526+R526</f>
        <v>1614687.62</v>
      </c>
      <c r="X526" s="41"/>
    </row>
    <row r="527" spans="1:24" ht="12.75" x14ac:dyDescent="0.2">
      <c r="A527" s="82" t="s">
        <v>42</v>
      </c>
      <c r="B527" s="141">
        <f t="shared" ref="B527:W527" si="150">B524+B526-B478</f>
        <v>68812.570000000022</v>
      </c>
      <c r="C527" s="141">
        <f t="shared" si="150"/>
        <v>1089250.3500000003</v>
      </c>
      <c r="D527" s="141">
        <f t="shared" si="150"/>
        <v>2391752.8699999996</v>
      </c>
      <c r="E527" s="141">
        <f t="shared" si="150"/>
        <v>1435471.149999999</v>
      </c>
      <c r="F527" s="141">
        <f t="shared" si="150"/>
        <v>1304918.7099999993</v>
      </c>
      <c r="G527" s="39">
        <f t="shared" si="150"/>
        <v>6290205.6500000013</v>
      </c>
      <c r="H527" s="141">
        <f t="shared" si="150"/>
        <v>1892924.1400000006</v>
      </c>
      <c r="I527" s="141">
        <f t="shared" si="150"/>
        <v>806662.3600000001</v>
      </c>
      <c r="J527" s="141">
        <f t="shared" si="150"/>
        <v>790902.82000000041</v>
      </c>
      <c r="K527" s="141">
        <f t="shared" si="150"/>
        <v>765016.58000000007</v>
      </c>
      <c r="L527" s="141">
        <f t="shared" si="150"/>
        <v>1564428.07</v>
      </c>
      <c r="M527" s="141">
        <f t="shared" si="150"/>
        <v>122170.03000000035</v>
      </c>
      <c r="N527" s="141">
        <f t="shared" si="150"/>
        <v>295421.07000000007</v>
      </c>
      <c r="O527" s="141">
        <f t="shared" si="150"/>
        <v>1693808.2399999993</v>
      </c>
      <c r="P527" s="141">
        <f t="shared" si="150"/>
        <v>327797.86000000016</v>
      </c>
      <c r="Q527" s="39">
        <f t="shared" si="150"/>
        <v>8259131.1699999971</v>
      </c>
      <c r="R527" s="38">
        <f t="shared" si="150"/>
        <v>5252059.1800000016</v>
      </c>
      <c r="S527" s="38"/>
      <c r="T527" s="38"/>
      <c r="U527" s="38"/>
      <c r="V527" s="38"/>
      <c r="W527" s="140">
        <f t="shared" si="150"/>
        <v>19801396.000000004</v>
      </c>
      <c r="X527" s="41">
        <f>W526+X524</f>
        <v>295202753.9199999</v>
      </c>
    </row>
    <row r="528" spans="1:24" ht="12.75" x14ac:dyDescent="0.2">
      <c r="A528" s="85"/>
      <c r="B528" s="43"/>
      <c r="C528" s="43"/>
      <c r="D528" s="43"/>
      <c r="E528" s="43"/>
      <c r="F528" s="43"/>
      <c r="G528" s="47"/>
      <c r="H528" s="43"/>
      <c r="I528" s="43"/>
      <c r="J528" s="43"/>
      <c r="K528" s="43"/>
      <c r="L528" s="43"/>
      <c r="M528" s="43"/>
      <c r="N528" s="43"/>
      <c r="O528" s="43"/>
      <c r="P528" s="43"/>
      <c r="Q528" s="47"/>
      <c r="R528" s="43"/>
      <c r="S528" s="43"/>
      <c r="T528" s="43"/>
      <c r="U528" s="43"/>
      <c r="V528" s="43"/>
      <c r="W528" s="87"/>
      <c r="X528" s="46"/>
    </row>
    <row r="529" spans="1:24" ht="12.75" x14ac:dyDescent="0.2">
      <c r="A529" s="82" t="s">
        <v>50</v>
      </c>
      <c r="B529" s="38">
        <v>21815.42</v>
      </c>
      <c r="C529" s="38">
        <v>98733.6</v>
      </c>
      <c r="D529" s="38">
        <v>225676.79999999999</v>
      </c>
      <c r="E529" s="38">
        <v>19394.099999999999</v>
      </c>
      <c r="F529" s="38">
        <v>78046.559999999998</v>
      </c>
      <c r="G529" s="39">
        <f>SUM(B529:F529)</f>
        <v>443666.48</v>
      </c>
      <c r="H529" s="38">
        <v>197754.03</v>
      </c>
      <c r="I529" s="38">
        <v>44588.36</v>
      </c>
      <c r="J529" s="38">
        <v>100797.5</v>
      </c>
      <c r="K529" s="38">
        <v>81153.83</v>
      </c>
      <c r="L529" s="38">
        <v>171680.22</v>
      </c>
      <c r="M529" s="38">
        <v>29357.79</v>
      </c>
      <c r="N529" s="38">
        <v>53148.52</v>
      </c>
      <c r="O529" s="38">
        <v>198141.98</v>
      </c>
      <c r="P529" s="38">
        <v>0</v>
      </c>
      <c r="Q529" s="39">
        <f>SUM(H529:P529)</f>
        <v>876622.2300000001</v>
      </c>
      <c r="R529" s="38">
        <v>187952.9</v>
      </c>
      <c r="S529" s="38"/>
      <c r="T529" s="38"/>
      <c r="U529" s="38"/>
      <c r="V529" s="38"/>
      <c r="W529" s="83">
        <f>Q529+G529+R529</f>
        <v>1508241.6099999999</v>
      </c>
      <c r="X529" s="41"/>
    </row>
    <row r="530" spans="1:24" ht="12.75" x14ac:dyDescent="0.2">
      <c r="A530" s="82" t="s">
        <v>42</v>
      </c>
      <c r="B530" s="141">
        <f t="shared" ref="B530:W530" si="151">B527+B529-B481</f>
        <v>89800.530000000013</v>
      </c>
      <c r="C530" s="141">
        <f t="shared" si="151"/>
        <v>1091533.0900000003</v>
      </c>
      <c r="D530" s="141">
        <f t="shared" si="151"/>
        <v>2410047.3899999997</v>
      </c>
      <c r="E530" s="141">
        <f t="shared" si="151"/>
        <v>1391254.2299999991</v>
      </c>
      <c r="F530" s="141">
        <f t="shared" si="151"/>
        <v>1262983.4999999993</v>
      </c>
      <c r="G530" s="39">
        <f t="shared" si="151"/>
        <v>6245618.7400000012</v>
      </c>
      <c r="H530" s="141">
        <f t="shared" si="151"/>
        <v>1772913.3700000006</v>
      </c>
      <c r="I530" s="141">
        <f t="shared" si="151"/>
        <v>607471.97000000009</v>
      </c>
      <c r="J530" s="141">
        <f t="shared" si="151"/>
        <v>810979.01000000047</v>
      </c>
      <c r="K530" s="141">
        <f t="shared" si="151"/>
        <v>757752.94000000006</v>
      </c>
      <c r="L530" s="141">
        <f t="shared" si="151"/>
        <v>1530628.51</v>
      </c>
      <c r="M530" s="141">
        <f t="shared" si="151"/>
        <v>110386.87000000036</v>
      </c>
      <c r="N530" s="141">
        <f t="shared" si="151"/>
        <v>318311.00000000006</v>
      </c>
      <c r="O530" s="141">
        <f t="shared" si="151"/>
        <v>1704558.6599999992</v>
      </c>
      <c r="P530" s="141">
        <f t="shared" si="151"/>
        <v>198772.36000000016</v>
      </c>
      <c r="Q530" s="39">
        <f t="shared" si="151"/>
        <v>7811774.6899999967</v>
      </c>
      <c r="R530" s="38">
        <f t="shared" si="151"/>
        <v>4973734.1400000015</v>
      </c>
      <c r="S530" s="38"/>
      <c r="T530" s="38"/>
      <c r="U530" s="38"/>
      <c r="V530" s="38"/>
      <c r="W530" s="140">
        <f t="shared" si="151"/>
        <v>19031127.570000004</v>
      </c>
      <c r="X530" s="41">
        <f>W529+X527</f>
        <v>296710995.52999991</v>
      </c>
    </row>
    <row r="531" spans="1:24" ht="12.75" x14ac:dyDescent="0.2">
      <c r="A531" s="85"/>
      <c r="B531" s="43"/>
      <c r="C531" s="43"/>
      <c r="D531" s="43"/>
      <c r="E531" s="43"/>
      <c r="F531" s="43"/>
      <c r="G531" s="47"/>
      <c r="H531" s="43"/>
      <c r="I531" s="43"/>
      <c r="J531" s="43"/>
      <c r="K531" s="43"/>
      <c r="L531" s="43"/>
      <c r="M531" s="43"/>
      <c r="N531" s="43"/>
      <c r="O531" s="43"/>
      <c r="P531" s="43"/>
      <c r="Q531" s="47"/>
      <c r="R531" s="43"/>
      <c r="S531" s="43"/>
      <c r="T531" s="43"/>
      <c r="U531" s="43"/>
      <c r="V531" s="43"/>
      <c r="W531" s="87"/>
      <c r="X531" s="46"/>
    </row>
    <row r="532" spans="1:24" ht="12.75" x14ac:dyDescent="0.2">
      <c r="A532" s="82" t="s">
        <v>51</v>
      </c>
      <c r="B532" s="38">
        <v>18430.27</v>
      </c>
      <c r="C532" s="38">
        <v>43724.88</v>
      </c>
      <c r="D532" s="38">
        <v>169727.76</v>
      </c>
      <c r="E532" s="38">
        <v>197467.2</v>
      </c>
      <c r="F532" s="38">
        <v>91446.12</v>
      </c>
      <c r="G532" s="39">
        <f>SUM(B532:F532)</f>
        <v>520796.23</v>
      </c>
      <c r="H532" s="38">
        <v>132152.69</v>
      </c>
      <c r="I532" s="38">
        <v>18684.810000000001</v>
      </c>
      <c r="J532" s="38">
        <v>41935.39</v>
      </c>
      <c r="K532" s="38">
        <v>49849.4</v>
      </c>
      <c r="L532" s="38">
        <v>84003.06</v>
      </c>
      <c r="M532" s="38">
        <v>13625.6</v>
      </c>
      <c r="N532" s="38">
        <v>41267.67</v>
      </c>
      <c r="O532" s="38">
        <v>133225.22</v>
      </c>
      <c r="P532" s="38">
        <v>80033.27</v>
      </c>
      <c r="Q532" s="39">
        <f>SUM(H532:P532)</f>
        <v>594777.11</v>
      </c>
      <c r="R532" s="38">
        <v>119921.18</v>
      </c>
      <c r="S532" s="38"/>
      <c r="T532" s="38"/>
      <c r="U532" s="38"/>
      <c r="V532" s="38"/>
      <c r="W532" s="83">
        <f>Q532+G532+R532</f>
        <v>1235494.5199999998</v>
      </c>
      <c r="X532" s="41"/>
    </row>
    <row r="533" spans="1:24" ht="12.75" x14ac:dyDescent="0.2">
      <c r="A533" s="82" t="s">
        <v>42</v>
      </c>
      <c r="B533" s="141">
        <f t="shared" ref="B533:W533" si="152">B530+B532-B484</f>
        <v>107196.47000000002</v>
      </c>
      <c r="C533" s="141">
        <f t="shared" si="152"/>
        <v>1032342.5700000002</v>
      </c>
      <c r="D533" s="141">
        <f t="shared" si="152"/>
        <v>2438072.5399999996</v>
      </c>
      <c r="E533" s="141">
        <f t="shared" si="152"/>
        <v>1452190.449999999</v>
      </c>
      <c r="F533" s="141">
        <f t="shared" si="152"/>
        <v>1217122.8999999992</v>
      </c>
      <c r="G533" s="39">
        <f t="shared" si="152"/>
        <v>6246924.9300000006</v>
      </c>
      <c r="H533" s="141">
        <f t="shared" si="152"/>
        <v>1721747.3000000005</v>
      </c>
      <c r="I533" s="141">
        <f t="shared" si="152"/>
        <v>473468.85000000015</v>
      </c>
      <c r="J533" s="141">
        <f t="shared" si="152"/>
        <v>786960.87000000046</v>
      </c>
      <c r="K533" s="141">
        <f t="shared" si="152"/>
        <v>742004.74000000011</v>
      </c>
      <c r="L533" s="141">
        <f t="shared" si="152"/>
        <v>1468235.62</v>
      </c>
      <c r="M533" s="141">
        <f t="shared" si="152"/>
        <v>114153.75000000036</v>
      </c>
      <c r="N533" s="141">
        <f t="shared" si="152"/>
        <v>359578.67000000004</v>
      </c>
      <c r="O533" s="141">
        <f t="shared" si="152"/>
        <v>1716123.1099999992</v>
      </c>
      <c r="P533" s="141">
        <f t="shared" si="152"/>
        <v>194182.52000000019</v>
      </c>
      <c r="Q533" s="39">
        <f t="shared" si="152"/>
        <v>7576455.4299999969</v>
      </c>
      <c r="R533" s="38">
        <f t="shared" si="152"/>
        <v>4696582.5900000017</v>
      </c>
      <c r="S533" s="38"/>
      <c r="T533" s="38"/>
      <c r="U533" s="38"/>
      <c r="V533" s="38"/>
      <c r="W533" s="140">
        <f t="shared" si="152"/>
        <v>18519962.950000003</v>
      </c>
      <c r="X533" s="41">
        <f>W532+X530</f>
        <v>297946490.04999989</v>
      </c>
    </row>
    <row r="534" spans="1:24" ht="12.75" x14ac:dyDescent="0.2">
      <c r="A534" s="85"/>
      <c r="B534" s="44"/>
      <c r="C534" s="44"/>
      <c r="D534" s="44"/>
      <c r="E534" s="44"/>
      <c r="F534" s="44"/>
      <c r="G534" s="45"/>
      <c r="H534" s="44"/>
      <c r="I534" s="44"/>
      <c r="J534" s="44"/>
      <c r="K534" s="44"/>
      <c r="L534" s="44"/>
      <c r="M534" s="44"/>
      <c r="N534" s="44"/>
      <c r="O534" s="44"/>
      <c r="P534" s="44"/>
      <c r="Q534" s="45"/>
      <c r="R534" s="43"/>
      <c r="S534" s="43"/>
      <c r="T534" s="43"/>
      <c r="U534" s="43"/>
      <c r="V534" s="43"/>
      <c r="W534" s="86"/>
      <c r="X534" s="46"/>
    </row>
    <row r="535" spans="1:24" ht="12.75" x14ac:dyDescent="0.2">
      <c r="A535" s="82" t="s">
        <v>52</v>
      </c>
      <c r="B535" s="38">
        <v>0</v>
      </c>
      <c r="C535" s="38">
        <v>88390.080000000002</v>
      </c>
      <c r="D535" s="38">
        <v>96852.96</v>
      </c>
      <c r="E535" s="38">
        <v>215803.44</v>
      </c>
      <c r="F535" s="38">
        <v>90740.88</v>
      </c>
      <c r="G535" s="39">
        <f>SUM(B535:F535)</f>
        <v>491787.36</v>
      </c>
      <c r="H535" s="38">
        <v>49849.46</v>
      </c>
      <c r="I535" s="38">
        <v>0</v>
      </c>
      <c r="J535" s="38">
        <v>48864.24</v>
      </c>
      <c r="K535" s="38">
        <v>54072.54</v>
      </c>
      <c r="L535" s="38">
        <v>63137.29</v>
      </c>
      <c r="M535" s="38">
        <v>7359.13</v>
      </c>
      <c r="N535" s="38">
        <v>42084.37</v>
      </c>
      <c r="O535" s="38">
        <v>127579.68</v>
      </c>
      <c r="P535" s="38">
        <v>71326.67</v>
      </c>
      <c r="Q535" s="39">
        <f>SUM(H535:P535)</f>
        <v>464273.38</v>
      </c>
      <c r="R535" s="38">
        <v>155364.94</v>
      </c>
      <c r="S535" s="38"/>
      <c r="T535" s="38"/>
      <c r="U535" s="38"/>
      <c r="V535" s="38"/>
      <c r="W535" s="83">
        <f>Q535+G535+R535</f>
        <v>1111425.68</v>
      </c>
      <c r="X535" s="41"/>
    </row>
    <row r="536" spans="1:24" ht="12.75" x14ac:dyDescent="0.2">
      <c r="A536" s="82" t="s">
        <v>42</v>
      </c>
      <c r="B536" s="141">
        <f t="shared" ref="B536:W536" si="153">B533+B535-B487</f>
        <v>107196.47000000002</v>
      </c>
      <c r="C536" s="141">
        <f t="shared" si="153"/>
        <v>1040313.8300000001</v>
      </c>
      <c r="D536" s="141">
        <f t="shared" si="153"/>
        <v>2346161.0799999996</v>
      </c>
      <c r="E536" s="141">
        <f t="shared" si="153"/>
        <v>1412774.0499999989</v>
      </c>
      <c r="F536" s="141">
        <f t="shared" si="153"/>
        <v>1181934.6399999994</v>
      </c>
      <c r="G536" s="39">
        <f t="shared" si="153"/>
        <v>6088380.0700000012</v>
      </c>
      <c r="H536" s="141">
        <f t="shared" si="153"/>
        <v>1579294.9500000004</v>
      </c>
      <c r="I536" s="141">
        <f t="shared" si="153"/>
        <v>322625.60000000015</v>
      </c>
      <c r="J536" s="141">
        <f t="shared" si="153"/>
        <v>793815.1600000005</v>
      </c>
      <c r="K536" s="141">
        <f t="shared" si="153"/>
        <v>772981.00000000012</v>
      </c>
      <c r="L536" s="141">
        <f t="shared" si="153"/>
        <v>1385305.6</v>
      </c>
      <c r="M536" s="141">
        <f t="shared" si="153"/>
        <v>121512.88000000037</v>
      </c>
      <c r="N536" s="141">
        <f t="shared" si="153"/>
        <v>401663.04000000004</v>
      </c>
      <c r="O536" s="141">
        <f t="shared" si="153"/>
        <v>1746234.4099999992</v>
      </c>
      <c r="P536" s="141">
        <f t="shared" si="153"/>
        <v>241832.94000000018</v>
      </c>
      <c r="Q536" s="39">
        <f t="shared" si="153"/>
        <v>7365265.5799999963</v>
      </c>
      <c r="R536" s="38">
        <f t="shared" si="153"/>
        <v>4076221.140000002</v>
      </c>
      <c r="S536" s="38"/>
      <c r="T536" s="38"/>
      <c r="U536" s="38"/>
      <c r="V536" s="38"/>
      <c r="W536" s="140">
        <f t="shared" si="153"/>
        <v>17529866.790000003</v>
      </c>
      <c r="X536" s="41">
        <f>W535+X533</f>
        <v>299057915.7299999</v>
      </c>
    </row>
    <row r="537" spans="1:24" ht="12.75" x14ac:dyDescent="0.2">
      <c r="A537" s="85"/>
      <c r="B537" s="43"/>
      <c r="C537" s="43"/>
      <c r="D537" s="43"/>
      <c r="E537" s="43"/>
      <c r="F537" s="43"/>
      <c r="G537" s="47"/>
      <c r="H537" s="43"/>
      <c r="I537" s="43"/>
      <c r="J537" s="43"/>
      <c r="K537" s="43"/>
      <c r="L537" s="43"/>
      <c r="M537" s="43"/>
      <c r="N537" s="43"/>
      <c r="O537" s="43"/>
      <c r="P537" s="43"/>
      <c r="Q537" s="47"/>
      <c r="R537" s="43"/>
      <c r="S537" s="43"/>
      <c r="T537" s="43"/>
      <c r="U537" s="43"/>
      <c r="V537" s="43"/>
      <c r="W537" s="87"/>
      <c r="X537" s="46"/>
    </row>
    <row r="538" spans="1:24" ht="12.75" x14ac:dyDescent="0.2">
      <c r="A538" s="82" t="s">
        <v>53</v>
      </c>
      <c r="B538" s="38">
        <v>0</v>
      </c>
      <c r="C538" s="38">
        <v>116129.52</v>
      </c>
      <c r="D538" s="38">
        <v>223326</v>
      </c>
      <c r="E538" s="38">
        <v>161147.34</v>
      </c>
      <c r="F538" s="38">
        <v>99438.84</v>
      </c>
      <c r="G538" s="39">
        <f>SUM(B538:F538)</f>
        <v>600041.69999999995</v>
      </c>
      <c r="H538" s="38">
        <v>5527.78</v>
      </c>
      <c r="I538" s="38">
        <v>0</v>
      </c>
      <c r="J538" s="38">
        <v>56502.37</v>
      </c>
      <c r="K538" s="38">
        <v>54716.98</v>
      </c>
      <c r="L538" s="38">
        <v>0</v>
      </c>
      <c r="M538" s="38">
        <v>0</v>
      </c>
      <c r="N538" s="38">
        <v>39787.360000000001</v>
      </c>
      <c r="O538" s="38">
        <v>80205.14</v>
      </c>
      <c r="P538" s="38">
        <v>0</v>
      </c>
      <c r="Q538" s="39">
        <f>SUM(H538:P538)</f>
        <v>236739.63</v>
      </c>
      <c r="R538" s="38">
        <v>188730.38</v>
      </c>
      <c r="S538" s="38"/>
      <c r="T538" s="38"/>
      <c r="U538" s="38"/>
      <c r="V538" s="38"/>
      <c r="W538" s="83">
        <f>Q538+G538+R538</f>
        <v>1025511.71</v>
      </c>
      <c r="X538" s="41"/>
    </row>
    <row r="539" spans="1:24" ht="13.5" thickBot="1" x14ac:dyDescent="0.25">
      <c r="A539" s="88" t="s">
        <v>42</v>
      </c>
      <c r="B539" s="143">
        <f t="shared" ref="B539:W539" si="154">B536+B538-B490</f>
        <v>107196.47000000002</v>
      </c>
      <c r="C539" s="143">
        <f t="shared" si="154"/>
        <v>1084299.1400000001</v>
      </c>
      <c r="D539" s="143">
        <f t="shared" si="154"/>
        <v>2341935.4499999997</v>
      </c>
      <c r="E539" s="143">
        <f t="shared" si="154"/>
        <v>1308228.9999999991</v>
      </c>
      <c r="F539" s="143">
        <f t="shared" si="154"/>
        <v>1150272.7099999995</v>
      </c>
      <c r="G539" s="50">
        <f t="shared" si="154"/>
        <v>5991932.7700000014</v>
      </c>
      <c r="H539" s="143">
        <f t="shared" si="154"/>
        <v>1399763.4700000004</v>
      </c>
      <c r="I539" s="143">
        <f t="shared" si="154"/>
        <v>180338.64000000016</v>
      </c>
      <c r="J539" s="143">
        <f t="shared" si="154"/>
        <v>805875.13000000047</v>
      </c>
      <c r="K539" s="143">
        <f t="shared" si="154"/>
        <v>787447.7300000001</v>
      </c>
      <c r="L539" s="198">
        <f t="shared" si="154"/>
        <v>1235748.8</v>
      </c>
      <c r="M539" s="143">
        <f t="shared" si="154"/>
        <v>121512.88000000037</v>
      </c>
      <c r="N539" s="143">
        <f t="shared" si="154"/>
        <v>441450.4</v>
      </c>
      <c r="O539" s="143">
        <f t="shared" si="154"/>
        <v>1782099.2499999991</v>
      </c>
      <c r="P539" s="143">
        <f t="shared" si="154"/>
        <v>219089.88000000018</v>
      </c>
      <c r="Q539" s="50">
        <f t="shared" si="154"/>
        <v>6973326.179999996</v>
      </c>
      <c r="R539" s="49">
        <f t="shared" si="154"/>
        <v>3696035.8600000022</v>
      </c>
      <c r="S539" s="49"/>
      <c r="T539" s="49"/>
      <c r="U539" s="49"/>
      <c r="V539" s="49"/>
      <c r="W539" s="144">
        <f t="shared" si="154"/>
        <v>16661294.810000004</v>
      </c>
      <c r="X539" s="51">
        <f>W538+X536</f>
        <v>300083427.43999988</v>
      </c>
    </row>
    <row r="540" spans="1:24" ht="12.75" x14ac:dyDescent="0.2">
      <c r="A540" s="92"/>
      <c r="C540" s="90"/>
      <c r="D540" s="90"/>
      <c r="E540" s="90"/>
      <c r="F540" s="90"/>
      <c r="G540" s="90"/>
      <c r="I540" s="90"/>
      <c r="J540" s="90"/>
      <c r="K540" s="90"/>
      <c r="L540" s="90"/>
      <c r="M540" s="90"/>
      <c r="N540" s="90"/>
      <c r="O540" s="171"/>
      <c r="P540" s="90"/>
      <c r="Q540" s="90"/>
      <c r="W540" s="90"/>
      <c r="X540" s="91"/>
    </row>
    <row r="541" spans="1:24" ht="12.75" x14ac:dyDescent="0.2">
      <c r="B541" s="200"/>
      <c r="C541" s="200"/>
      <c r="D541" s="200"/>
      <c r="E541" s="200"/>
      <c r="F541" s="200"/>
      <c r="G541" s="200"/>
      <c r="H541" s="200"/>
      <c r="I541" s="200"/>
      <c r="J541" s="200"/>
      <c r="K541" s="200"/>
      <c r="L541" s="200"/>
      <c r="M541" s="200"/>
      <c r="N541" s="200"/>
      <c r="O541" s="200"/>
      <c r="P541" s="200"/>
      <c r="Q541" t="s">
        <v>122</v>
      </c>
      <c r="R541" s="200"/>
      <c r="S541" s="200"/>
      <c r="T541" s="200"/>
      <c r="U541" s="200"/>
      <c r="V541" s="200"/>
      <c r="X541" s="9"/>
    </row>
    <row r="542" spans="1:24" ht="12.75" x14ac:dyDescent="0.2">
      <c r="R542" s="52" t="s">
        <v>125</v>
      </c>
      <c r="S542" s="52"/>
      <c r="T542" s="52"/>
      <c r="U542" s="52"/>
      <c r="V542" s="52"/>
    </row>
    <row r="544" spans="1:24" ht="27" x14ac:dyDescent="0.35">
      <c r="A544" s="133" t="s">
        <v>124</v>
      </c>
      <c r="B544" s="54"/>
      <c r="C544" s="122"/>
      <c r="D544" s="58"/>
      <c r="E544" s="127"/>
      <c r="F544" s="128"/>
      <c r="G544" s="127"/>
      <c r="H544" s="129"/>
      <c r="I544" s="130"/>
      <c r="J544" s="130"/>
      <c r="K544" s="130"/>
      <c r="L544" s="130"/>
      <c r="M544" s="130"/>
      <c r="N544" s="130"/>
      <c r="O544" s="130"/>
      <c r="P544" s="130"/>
      <c r="Q544" s="130"/>
      <c r="R544" s="128"/>
      <c r="S544" s="128"/>
      <c r="T544" s="128"/>
      <c r="U544" s="128"/>
      <c r="V544" s="128"/>
      <c r="W544" s="130"/>
      <c r="X544" s="131"/>
    </row>
    <row r="545" spans="1:24" ht="15.75" x14ac:dyDescent="0.25">
      <c r="A545" s="136"/>
      <c r="B545" s="170"/>
      <c r="C545" s="54"/>
      <c r="D545" s="53"/>
      <c r="E545" s="53"/>
      <c r="F545" s="132"/>
      <c r="G545" s="55"/>
      <c r="H545" s="55"/>
      <c r="I545" s="55"/>
      <c r="J545" s="54"/>
      <c r="K545" s="56"/>
      <c r="L545" s="57"/>
      <c r="M545" s="54"/>
      <c r="N545" s="54" t="s">
        <v>60</v>
      </c>
      <c r="O545" s="54"/>
      <c r="P545" s="54"/>
      <c r="Q545" s="57"/>
      <c r="R545" s="58"/>
      <c r="S545" s="58"/>
      <c r="T545" s="58"/>
      <c r="U545" s="58"/>
      <c r="V545" s="58"/>
      <c r="W545" s="54"/>
      <c r="X545" s="54"/>
    </row>
    <row r="546" spans="1:24" ht="27" x14ac:dyDescent="0.35">
      <c r="A546" s="134" t="s">
        <v>6</v>
      </c>
      <c r="B546" s="122"/>
      <c r="C546" s="122"/>
      <c r="D546" s="122"/>
      <c r="E546" s="122"/>
      <c r="F546" s="122"/>
      <c r="G546" s="122"/>
      <c r="H546" s="122"/>
      <c r="I546" s="122"/>
      <c r="J546" s="122"/>
      <c r="K546" s="122"/>
      <c r="L546" s="122"/>
      <c r="M546" s="122"/>
      <c r="N546" s="122"/>
      <c r="O546" s="122"/>
      <c r="P546" s="122"/>
      <c r="Q546" s="122"/>
      <c r="R546" s="122"/>
      <c r="S546" s="122"/>
      <c r="T546" s="122"/>
      <c r="U546" s="122"/>
      <c r="V546" s="122"/>
      <c r="W546" s="142"/>
      <c r="X546" s="122"/>
    </row>
    <row r="547" spans="1:24" ht="12" thickBot="1" x14ac:dyDescent="0.25">
      <c r="B547" s="2"/>
      <c r="C547" s="2"/>
      <c r="D547" s="2"/>
      <c r="E547" s="2"/>
      <c r="F547" s="59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 t="s">
        <v>60</v>
      </c>
      <c r="W547" s="2"/>
      <c r="X547" s="57"/>
    </row>
    <row r="548" spans="1:24" x14ac:dyDescent="0.2">
      <c r="A548" s="14"/>
      <c r="B548" s="15"/>
      <c r="C548" s="15"/>
      <c r="D548" s="15"/>
      <c r="E548" s="15"/>
      <c r="F548" s="15"/>
      <c r="G548" s="15"/>
      <c r="H548" s="15"/>
      <c r="I548" s="15"/>
      <c r="J548" s="15"/>
      <c r="K548" s="15"/>
      <c r="L548" s="15"/>
      <c r="M548" s="15"/>
      <c r="N548" s="15"/>
      <c r="O548" s="15"/>
      <c r="P548" s="15"/>
      <c r="Q548" s="15"/>
      <c r="R548" s="16"/>
      <c r="S548" s="16"/>
      <c r="T548" s="16"/>
      <c r="U548" s="16"/>
      <c r="V548" s="16"/>
      <c r="W548" s="15"/>
      <c r="X548" s="60" t="s">
        <v>60</v>
      </c>
    </row>
    <row r="549" spans="1:24" ht="13.5" thickBot="1" x14ac:dyDescent="0.25">
      <c r="A549" s="18"/>
      <c r="B549" s="61"/>
      <c r="C549" s="62"/>
      <c r="D549" s="63" t="s">
        <v>73</v>
      </c>
      <c r="E549" s="64"/>
      <c r="F549" s="64"/>
      <c r="G549" s="64"/>
      <c r="H549" s="61"/>
      <c r="I549" s="64"/>
      <c r="J549" s="64"/>
      <c r="K549" s="65" t="s">
        <v>74</v>
      </c>
      <c r="L549" s="64"/>
      <c r="M549" s="64"/>
      <c r="N549" s="64"/>
      <c r="O549" s="64"/>
      <c r="P549" s="64"/>
      <c r="Q549" s="138"/>
      <c r="R549" s="64"/>
      <c r="S549" s="64"/>
      <c r="T549" s="64"/>
      <c r="U549" s="64"/>
      <c r="V549" s="64"/>
      <c r="W549" s="66"/>
      <c r="X549" s="36" t="s">
        <v>60</v>
      </c>
    </row>
    <row r="550" spans="1:24" ht="12" x14ac:dyDescent="0.2">
      <c r="A550" s="67"/>
      <c r="B550" s="68" t="s">
        <v>11</v>
      </c>
      <c r="C550" s="68" t="s">
        <v>12</v>
      </c>
      <c r="D550" s="68" t="s">
        <v>13</v>
      </c>
      <c r="E550" s="68" t="s">
        <v>14</v>
      </c>
      <c r="F550" s="68" t="s">
        <v>15</v>
      </c>
      <c r="G550" s="69" t="s">
        <v>16</v>
      </c>
      <c r="H550" s="68" t="s">
        <v>17</v>
      </c>
      <c r="I550" s="70"/>
      <c r="J550" s="70"/>
      <c r="K550" s="70"/>
      <c r="L550" s="70"/>
      <c r="M550" s="68" t="s">
        <v>18</v>
      </c>
      <c r="N550" s="68" t="s">
        <v>19</v>
      </c>
      <c r="O550" s="68" t="s">
        <v>20</v>
      </c>
      <c r="P550" s="68" t="s">
        <v>21</v>
      </c>
      <c r="Q550" s="69" t="s">
        <v>16</v>
      </c>
      <c r="R550" s="203" t="s">
        <v>69</v>
      </c>
      <c r="S550" s="202" t="s">
        <v>126</v>
      </c>
      <c r="T550" s="202" t="s">
        <v>138</v>
      </c>
      <c r="U550" s="202"/>
      <c r="V550" s="202"/>
      <c r="W550" s="72" t="s">
        <v>7</v>
      </c>
      <c r="X550" s="73" t="s">
        <v>70</v>
      </c>
    </row>
    <row r="551" spans="1:24" ht="12.75" thickBot="1" x14ac:dyDescent="0.25">
      <c r="A551" s="75"/>
      <c r="B551" s="76" t="s">
        <v>23</v>
      </c>
      <c r="C551" s="76" t="s">
        <v>24</v>
      </c>
      <c r="D551" s="76" t="s">
        <v>25</v>
      </c>
      <c r="E551" s="76" t="s">
        <v>26</v>
      </c>
      <c r="F551" s="76" t="s">
        <v>27</v>
      </c>
      <c r="G551" s="77" t="s">
        <v>28</v>
      </c>
      <c r="H551" s="76" t="s">
        <v>29</v>
      </c>
      <c r="I551" s="76" t="s">
        <v>30</v>
      </c>
      <c r="J551" s="76" t="s">
        <v>31</v>
      </c>
      <c r="K551" s="76" t="s">
        <v>32</v>
      </c>
      <c r="L551" s="76" t="s">
        <v>33</v>
      </c>
      <c r="M551" s="76" t="s">
        <v>34</v>
      </c>
      <c r="N551" s="76" t="s">
        <v>35</v>
      </c>
      <c r="O551" s="76" t="s">
        <v>36</v>
      </c>
      <c r="P551" s="76" t="s">
        <v>37</v>
      </c>
      <c r="Q551" s="77" t="s">
        <v>28</v>
      </c>
      <c r="R551" s="204" t="s">
        <v>82</v>
      </c>
      <c r="S551" s="78" t="s">
        <v>130</v>
      </c>
      <c r="T551" s="78" t="s">
        <v>139</v>
      </c>
      <c r="U551" s="78"/>
      <c r="V551" s="78"/>
      <c r="W551" s="79" t="s">
        <v>10</v>
      </c>
      <c r="X551" s="80" t="s">
        <v>71</v>
      </c>
    </row>
    <row r="552" spans="1:24" x14ac:dyDescent="0.2">
      <c r="A552" s="18"/>
      <c r="B552" s="33"/>
      <c r="C552" s="33"/>
      <c r="D552" s="33"/>
      <c r="E552" s="33"/>
      <c r="F552" s="33"/>
      <c r="G552" s="34"/>
      <c r="H552" s="33"/>
      <c r="I552" s="33"/>
      <c r="J552" s="33"/>
      <c r="K552" s="33"/>
      <c r="L552" s="33"/>
      <c r="M552" s="33"/>
      <c r="N552" s="33"/>
      <c r="O552" s="33"/>
      <c r="P552" s="33"/>
      <c r="Q552" s="34"/>
      <c r="R552" s="205"/>
      <c r="S552" s="35"/>
      <c r="T552" s="35"/>
      <c r="U552" s="35"/>
      <c r="V552" s="35"/>
      <c r="W552" s="81"/>
      <c r="X552" s="36"/>
    </row>
    <row r="553" spans="1:24" ht="12.75" x14ac:dyDescent="0.2">
      <c r="A553" s="82" t="s">
        <v>41</v>
      </c>
      <c r="B553" s="38">
        <v>14755.01</v>
      </c>
      <c r="C553" s="38">
        <v>131033.28</v>
      </c>
      <c r="D553" s="38">
        <v>249403.68</v>
      </c>
      <c r="E553" s="38">
        <v>140392.79999999999</v>
      </c>
      <c r="F553" s="38">
        <v>116168.16</v>
      </c>
      <c r="G553" s="39">
        <f>SUM(B553:F553)</f>
        <v>651752.93000000005</v>
      </c>
      <c r="H553" s="38">
        <v>55600.04</v>
      </c>
      <c r="I553" s="38">
        <v>0</v>
      </c>
      <c r="J553" s="38">
        <v>49508.2</v>
      </c>
      <c r="K553" s="38">
        <v>50148.23</v>
      </c>
      <c r="L553" s="38">
        <v>89683.86</v>
      </c>
      <c r="M553" s="38">
        <v>15976.75</v>
      </c>
      <c r="N553" s="38">
        <v>50837.51</v>
      </c>
      <c r="O553" s="38">
        <v>132982.15</v>
      </c>
      <c r="P553" s="38">
        <v>11832.81</v>
      </c>
      <c r="Q553" s="39">
        <f>SUM(H553:P553)</f>
        <v>456569.55</v>
      </c>
      <c r="R553" s="39">
        <v>200720.61</v>
      </c>
      <c r="S553" s="38"/>
      <c r="T553" s="38"/>
      <c r="U553" s="38"/>
      <c r="V553" s="38"/>
      <c r="W553" s="83">
        <f>Q553+G553+R553</f>
        <v>1309043.0899999999</v>
      </c>
      <c r="X553" s="41"/>
    </row>
    <row r="554" spans="1:24" ht="12.75" x14ac:dyDescent="0.2">
      <c r="A554" s="82" t="s">
        <v>42</v>
      </c>
      <c r="B554" s="141">
        <f t="shared" ref="B554:W554" si="155">B539+B553-B505</f>
        <v>121951.48000000001</v>
      </c>
      <c r="C554" s="141">
        <f t="shared" si="155"/>
        <v>1149039.8600000001</v>
      </c>
      <c r="D554" s="141">
        <f t="shared" si="155"/>
        <v>2371774.4099999997</v>
      </c>
      <c r="E554" s="141">
        <f t="shared" si="155"/>
        <v>1356587.9799999991</v>
      </c>
      <c r="F554" s="141">
        <f t="shared" si="155"/>
        <v>1165121.3899999994</v>
      </c>
      <c r="G554" s="172">
        <f t="shared" si="155"/>
        <v>6164475.120000001</v>
      </c>
      <c r="H554" s="141">
        <f t="shared" si="155"/>
        <v>1425917.3500000006</v>
      </c>
      <c r="I554" s="141">
        <f t="shared" si="155"/>
        <v>177113.93000000017</v>
      </c>
      <c r="J554" s="141">
        <f t="shared" si="155"/>
        <v>806042.15000000037</v>
      </c>
      <c r="K554" s="141">
        <f t="shared" si="155"/>
        <v>790261.92</v>
      </c>
      <c r="L554" s="141">
        <f t="shared" si="155"/>
        <v>1245537.8900000001</v>
      </c>
      <c r="M554" s="141">
        <f t="shared" si="155"/>
        <v>137489.63000000035</v>
      </c>
      <c r="N554" s="141">
        <f t="shared" si="155"/>
        <v>492287.91000000003</v>
      </c>
      <c r="O554" s="141">
        <f t="shared" si="155"/>
        <v>1786529.679999999</v>
      </c>
      <c r="P554" s="141">
        <f t="shared" si="155"/>
        <v>223542.03000000017</v>
      </c>
      <c r="Q554" s="39">
        <f t="shared" si="155"/>
        <v>7084722.4899999956</v>
      </c>
      <c r="R554" s="172">
        <f t="shared" si="155"/>
        <v>3212321.4400000023</v>
      </c>
      <c r="S554" s="141"/>
      <c r="T554" s="141"/>
      <c r="U554" s="141"/>
      <c r="V554" s="141"/>
      <c r="W554" s="83">
        <f t="shared" si="155"/>
        <v>16461519.050000006</v>
      </c>
      <c r="X554" s="41">
        <f>X539+W553</f>
        <v>301392470.52999985</v>
      </c>
    </row>
    <row r="555" spans="1:24" ht="12.75" x14ac:dyDescent="0.2">
      <c r="A555" s="85"/>
      <c r="B555" s="38"/>
      <c r="C555" s="38"/>
      <c r="D555" s="38"/>
      <c r="E555" s="38"/>
      <c r="F555" s="38"/>
      <c r="G555" s="39"/>
      <c r="H555" s="38"/>
      <c r="I555" s="38"/>
      <c r="J555" s="38"/>
      <c r="K555" s="38"/>
      <c r="L555" s="38"/>
      <c r="M555" s="38"/>
      <c r="N555" s="38"/>
      <c r="O555" s="38"/>
      <c r="P555" s="38"/>
      <c r="Q555" s="39" t="s">
        <v>60</v>
      </c>
      <c r="R555" s="47"/>
      <c r="S555" s="43"/>
      <c r="T555" s="43"/>
      <c r="U555" s="43"/>
      <c r="V555" s="43"/>
      <c r="W555" s="83"/>
      <c r="X555" s="41"/>
    </row>
    <row r="556" spans="1:24" ht="12.75" x14ac:dyDescent="0.2">
      <c r="A556" s="82" t="s">
        <v>43</v>
      </c>
      <c r="B556" s="38">
        <v>14975.23</v>
      </c>
      <c r="C556" s="38">
        <v>118645.68</v>
      </c>
      <c r="D556" s="38">
        <v>199302.72</v>
      </c>
      <c r="E556" s="38">
        <v>87539.04</v>
      </c>
      <c r="F556" s="38">
        <v>112589.52</v>
      </c>
      <c r="G556" s="39">
        <f>SUM(B556:F556)</f>
        <v>533052.18999999994</v>
      </c>
      <c r="H556" s="38">
        <v>62583.1</v>
      </c>
      <c r="I556" s="38">
        <v>0</v>
      </c>
      <c r="J556" s="38">
        <v>50997.11</v>
      </c>
      <c r="K556" s="38">
        <v>0</v>
      </c>
      <c r="L556" s="38">
        <v>97215.96</v>
      </c>
      <c r="M556" s="38">
        <v>5317.28</v>
      </c>
      <c r="N556" s="38">
        <v>51880.27</v>
      </c>
      <c r="O556" s="38">
        <v>46766.21</v>
      </c>
      <c r="P556" s="38">
        <v>0</v>
      </c>
      <c r="Q556" s="39">
        <f>SUM(H556:P556)</f>
        <v>314759.93</v>
      </c>
      <c r="R556" s="39">
        <v>199902.5</v>
      </c>
      <c r="S556" s="38"/>
      <c r="T556" s="38"/>
      <c r="U556" s="38"/>
      <c r="V556" s="38"/>
      <c r="W556" s="83">
        <f>Q556+G556+R556</f>
        <v>1047714.6199999999</v>
      </c>
      <c r="X556" s="41"/>
    </row>
    <row r="557" spans="1:24" ht="12.75" x14ac:dyDescent="0.2">
      <c r="A557" s="82" t="s">
        <v>42</v>
      </c>
      <c r="B557" s="141">
        <f t="shared" ref="B557:W557" si="156">B554+B556-B508</f>
        <v>136926.71000000002</v>
      </c>
      <c r="C557" s="141">
        <f t="shared" si="156"/>
        <v>1209620.78</v>
      </c>
      <c r="D557" s="141">
        <f t="shared" si="156"/>
        <v>2393826.81</v>
      </c>
      <c r="E557" s="141">
        <f t="shared" si="156"/>
        <v>1398991.659999999</v>
      </c>
      <c r="F557" s="141">
        <f t="shared" si="156"/>
        <v>1218235.6699999995</v>
      </c>
      <c r="G557" s="39">
        <f t="shared" si="156"/>
        <v>6357601.6300000008</v>
      </c>
      <c r="H557" s="141">
        <f t="shared" si="156"/>
        <v>1437077.7300000007</v>
      </c>
      <c r="I557" s="141">
        <f t="shared" si="156"/>
        <v>177113.93000000017</v>
      </c>
      <c r="J557" s="141">
        <f t="shared" si="156"/>
        <v>813993.1800000004</v>
      </c>
      <c r="K557" s="141">
        <f t="shared" si="156"/>
        <v>749372.97000000009</v>
      </c>
      <c r="L557" s="141">
        <f t="shared" si="156"/>
        <v>1248778.54</v>
      </c>
      <c r="M557" s="141">
        <f t="shared" si="156"/>
        <v>142806.91000000035</v>
      </c>
      <c r="N557" s="141">
        <f t="shared" si="156"/>
        <v>544168.18000000005</v>
      </c>
      <c r="O557" s="141">
        <f t="shared" si="156"/>
        <v>1719348.419999999</v>
      </c>
      <c r="P557" s="141">
        <f t="shared" si="156"/>
        <v>223542.03000000017</v>
      </c>
      <c r="Q557" s="39">
        <f t="shared" si="156"/>
        <v>7056201.889999995</v>
      </c>
      <c r="R557" s="39">
        <f t="shared" si="156"/>
        <v>2956201.9300000025</v>
      </c>
      <c r="S557" s="38"/>
      <c r="T557" s="38"/>
      <c r="U557" s="38"/>
      <c r="V557" s="38"/>
      <c r="W557" s="140">
        <f t="shared" si="156"/>
        <v>16370005.450000005</v>
      </c>
      <c r="X557" s="41">
        <f>W556+X554</f>
        <v>302440185.14999986</v>
      </c>
    </row>
    <row r="558" spans="1:24" ht="12.75" x14ac:dyDescent="0.2">
      <c r="A558" s="85"/>
      <c r="B558" s="44"/>
      <c r="C558" s="44"/>
      <c r="D558" s="44"/>
      <c r="E558" s="44"/>
      <c r="F558" s="44"/>
      <c r="G558" s="45"/>
      <c r="H558" s="44"/>
      <c r="I558" s="44"/>
      <c r="J558" s="44"/>
      <c r="K558" s="44"/>
      <c r="L558" s="44"/>
      <c r="M558" s="44"/>
      <c r="N558" s="44"/>
      <c r="O558" s="44"/>
      <c r="P558" s="44"/>
      <c r="Q558" s="45"/>
      <c r="R558" s="47"/>
      <c r="S558" s="43"/>
      <c r="T558" s="43"/>
      <c r="U558" s="43"/>
      <c r="V558" s="43"/>
      <c r="W558" s="86"/>
      <c r="X558" s="46"/>
    </row>
    <row r="559" spans="1:24" ht="12.75" x14ac:dyDescent="0.2">
      <c r="A559" s="82" t="s">
        <v>44</v>
      </c>
      <c r="B559" s="38">
        <v>0</v>
      </c>
      <c r="C559" s="38">
        <v>136814.16</v>
      </c>
      <c r="D559" s="38">
        <v>216920.64</v>
      </c>
      <c r="E559" s="38">
        <v>0</v>
      </c>
      <c r="F559" s="38">
        <v>99651.36</v>
      </c>
      <c r="G559" s="39">
        <f>SUM(B559:F559)</f>
        <v>453386.16000000003</v>
      </c>
      <c r="H559" s="38">
        <v>58657.05</v>
      </c>
      <c r="I559" s="38">
        <v>23388.880000000001</v>
      </c>
      <c r="J559" s="38">
        <v>70516.97</v>
      </c>
      <c r="K559" s="38">
        <v>15786.33</v>
      </c>
      <c r="L559" s="38">
        <v>110361.46</v>
      </c>
      <c r="M559" s="38">
        <v>7807.53</v>
      </c>
      <c r="N559" s="38">
        <v>42849.17</v>
      </c>
      <c r="O559" s="38">
        <v>49702.25</v>
      </c>
      <c r="P559" s="38">
        <v>0</v>
      </c>
      <c r="Q559" s="39">
        <f>SUM(H559:P559)</f>
        <v>379069.64</v>
      </c>
      <c r="R559" s="39">
        <v>150084.26999999999</v>
      </c>
      <c r="S559" s="38"/>
      <c r="T559" s="38"/>
      <c r="U559" s="38"/>
      <c r="V559" s="38"/>
      <c r="W559" s="83">
        <f>Q559+G559+R559</f>
        <v>982540.07000000007</v>
      </c>
      <c r="X559" s="41"/>
    </row>
    <row r="560" spans="1:24" ht="12.75" x14ac:dyDescent="0.2">
      <c r="A560" s="82" t="s">
        <v>42</v>
      </c>
      <c r="B560" s="141">
        <f t="shared" ref="B560:W560" si="157">B557+B559-B511</f>
        <v>136926.71000000002</v>
      </c>
      <c r="C560" s="141">
        <f t="shared" si="157"/>
        <v>1279202.06</v>
      </c>
      <c r="D560" s="141">
        <f t="shared" si="157"/>
        <v>2433026.9700000002</v>
      </c>
      <c r="E560" s="141">
        <f t="shared" si="157"/>
        <v>1335872.679999999</v>
      </c>
      <c r="F560" s="141">
        <f t="shared" si="157"/>
        <v>1230672.3499999996</v>
      </c>
      <c r="G560" s="39">
        <f t="shared" si="157"/>
        <v>6415700.7700000014</v>
      </c>
      <c r="H560" s="141">
        <f t="shared" si="157"/>
        <v>1437208.7700000007</v>
      </c>
      <c r="I560" s="141">
        <f t="shared" si="157"/>
        <v>200502.81000000017</v>
      </c>
      <c r="J560" s="141">
        <f t="shared" si="157"/>
        <v>819238.14000000036</v>
      </c>
      <c r="K560" s="141">
        <f t="shared" si="157"/>
        <v>699887.8600000001</v>
      </c>
      <c r="L560" s="141">
        <f t="shared" si="157"/>
        <v>1264483.72</v>
      </c>
      <c r="M560" s="141">
        <f t="shared" si="157"/>
        <v>150614.44000000035</v>
      </c>
      <c r="N560" s="141">
        <f t="shared" si="157"/>
        <v>570335.97000000009</v>
      </c>
      <c r="O560" s="141">
        <f t="shared" si="157"/>
        <v>1656223.7499999991</v>
      </c>
      <c r="P560" s="141">
        <f t="shared" si="157"/>
        <v>223542.03000000017</v>
      </c>
      <c r="Q560" s="39">
        <f t="shared" si="157"/>
        <v>7022037.4899999946</v>
      </c>
      <c r="R560" s="39">
        <f t="shared" si="157"/>
        <v>2553642.3700000024</v>
      </c>
      <c r="S560" s="38"/>
      <c r="T560" s="38"/>
      <c r="U560" s="38"/>
      <c r="V560" s="38"/>
      <c r="W560" s="140">
        <f t="shared" si="157"/>
        <v>15991380.630000003</v>
      </c>
      <c r="X560" s="41">
        <f>W559+X557</f>
        <v>303422725.21999985</v>
      </c>
    </row>
    <row r="561" spans="1:24" ht="12.75" x14ac:dyDescent="0.2">
      <c r="A561" s="85"/>
      <c r="B561" s="43"/>
      <c r="C561" s="43"/>
      <c r="D561" s="43"/>
      <c r="E561" s="43"/>
      <c r="F561" s="43"/>
      <c r="G561" s="47"/>
      <c r="H561" s="43"/>
      <c r="I561" s="43"/>
      <c r="J561" s="43"/>
      <c r="K561" s="43"/>
      <c r="L561" s="43"/>
      <c r="M561" s="43"/>
      <c r="N561" s="43"/>
      <c r="O561" s="43"/>
      <c r="P561" s="43"/>
      <c r="Q561" s="47"/>
      <c r="R561" s="47"/>
      <c r="S561" s="43"/>
      <c r="T561" s="43"/>
      <c r="U561" s="43"/>
      <c r="V561" s="43"/>
      <c r="W561" s="87"/>
      <c r="X561" s="46"/>
    </row>
    <row r="562" spans="1:24" ht="12.75" x14ac:dyDescent="0.2">
      <c r="A562" s="82" t="s">
        <v>45</v>
      </c>
      <c r="B562" s="38">
        <v>10130.299999999999</v>
      </c>
      <c r="C562" s="38">
        <v>125527.67999999999</v>
      </c>
      <c r="D562" s="38">
        <v>201504.96</v>
      </c>
      <c r="E562" s="38">
        <v>85474.44</v>
      </c>
      <c r="F562" s="38">
        <v>14865.12</v>
      </c>
      <c r="G562" s="39">
        <f>SUM(B562:F562)</f>
        <v>437502.49999999994</v>
      </c>
      <c r="H562" s="38">
        <v>163441.94</v>
      </c>
      <c r="I562" s="38">
        <v>104965.5</v>
      </c>
      <c r="J562" s="38">
        <v>63046.8</v>
      </c>
      <c r="K562" s="38">
        <v>59218.67</v>
      </c>
      <c r="L562" s="38">
        <v>134905.74</v>
      </c>
      <c r="M562" s="38">
        <v>1445.52</v>
      </c>
      <c r="N562" s="38">
        <v>0</v>
      </c>
      <c r="O562" s="38">
        <v>58059.4</v>
      </c>
      <c r="P562" s="38">
        <v>0</v>
      </c>
      <c r="Q562" s="39">
        <f>SUM(H562:P562)</f>
        <v>585083.56999999995</v>
      </c>
      <c r="R562" s="39">
        <v>71724.570000000007</v>
      </c>
      <c r="S562" s="38">
        <v>0</v>
      </c>
      <c r="T562" s="38"/>
      <c r="U562" s="38"/>
      <c r="V562" s="38"/>
      <c r="W562" s="83">
        <f>Q562+G562+R562</f>
        <v>1094310.6399999999</v>
      </c>
      <c r="X562" s="41"/>
    </row>
    <row r="563" spans="1:24" ht="12.75" x14ac:dyDescent="0.2">
      <c r="A563" s="82" t="s">
        <v>42</v>
      </c>
      <c r="B563" s="141">
        <f t="shared" ref="B563:W563" si="158">B560+B562-B514</f>
        <v>147057.01</v>
      </c>
      <c r="C563" s="141">
        <f t="shared" si="158"/>
        <v>1297768.3400000001</v>
      </c>
      <c r="D563" s="141">
        <f t="shared" si="158"/>
        <v>2420609.1300000004</v>
      </c>
      <c r="E563" s="141">
        <f t="shared" si="158"/>
        <v>1257731.439999999</v>
      </c>
      <c r="F563" s="141">
        <f t="shared" si="158"/>
        <v>1129643.0299999998</v>
      </c>
      <c r="G563" s="39">
        <f t="shared" si="158"/>
        <v>6252808.9500000011</v>
      </c>
      <c r="H563" s="141">
        <f t="shared" si="158"/>
        <v>1472531.6300000006</v>
      </c>
      <c r="I563" s="141">
        <f t="shared" si="158"/>
        <v>305468.31000000017</v>
      </c>
      <c r="J563" s="141">
        <f t="shared" si="158"/>
        <v>823137.81000000041</v>
      </c>
      <c r="K563" s="141">
        <f t="shared" si="158"/>
        <v>696835.2300000001</v>
      </c>
      <c r="L563" s="141">
        <f t="shared" si="158"/>
        <v>1369710.1199999999</v>
      </c>
      <c r="M563" s="141">
        <f t="shared" si="158"/>
        <v>152059.96000000034</v>
      </c>
      <c r="N563" s="141">
        <f t="shared" si="158"/>
        <v>545531.82000000007</v>
      </c>
      <c r="O563" s="141">
        <f t="shared" si="158"/>
        <v>1590752.219999999</v>
      </c>
      <c r="P563" s="141">
        <f t="shared" si="158"/>
        <v>171061.32000000018</v>
      </c>
      <c r="Q563" s="39">
        <f t="shared" si="158"/>
        <v>7127088.4199999953</v>
      </c>
      <c r="R563" s="39">
        <f t="shared" si="158"/>
        <v>2394625.7800000021</v>
      </c>
      <c r="S563" s="38">
        <f>S562</f>
        <v>0</v>
      </c>
      <c r="T563" s="38"/>
      <c r="U563" s="38"/>
      <c r="V563" s="38"/>
      <c r="W563" s="140">
        <f t="shared" si="158"/>
        <v>15774523.150000004</v>
      </c>
      <c r="X563" s="41">
        <f>W562+X560</f>
        <v>304517035.85999984</v>
      </c>
    </row>
    <row r="564" spans="1:24" ht="12.75" x14ac:dyDescent="0.2">
      <c r="A564" s="85"/>
      <c r="B564" s="44"/>
      <c r="C564" s="44"/>
      <c r="D564" s="44"/>
      <c r="E564" s="44"/>
      <c r="F564" s="44"/>
      <c r="G564" s="45"/>
      <c r="H564" s="44"/>
      <c r="I564" s="44"/>
      <c r="J564" s="44"/>
      <c r="K564" s="44"/>
      <c r="L564" s="44"/>
      <c r="M564" s="44"/>
      <c r="N564" s="44"/>
      <c r="O564" s="44"/>
      <c r="P564" s="44"/>
      <c r="Q564" s="45"/>
      <c r="R564" s="47"/>
      <c r="S564" s="43"/>
      <c r="T564" s="43"/>
      <c r="U564" s="43"/>
      <c r="V564" s="43"/>
      <c r="W564" s="86"/>
      <c r="X564" s="46"/>
    </row>
    <row r="565" spans="1:24" ht="12.75" x14ac:dyDescent="0.2">
      <c r="A565" s="82" t="s">
        <v>46</v>
      </c>
      <c r="B565" s="38">
        <v>19379.71</v>
      </c>
      <c r="C565" s="38">
        <v>110387.28</v>
      </c>
      <c r="D565" s="38">
        <v>247201.44</v>
      </c>
      <c r="E565" s="38">
        <v>152780.4</v>
      </c>
      <c r="F565" s="38">
        <v>105982.8</v>
      </c>
      <c r="G565" s="39">
        <f>SUM(B565:F565)</f>
        <v>635731.63</v>
      </c>
      <c r="H565" s="38">
        <v>169401.85</v>
      </c>
      <c r="I565" s="38">
        <v>40659.599999999999</v>
      </c>
      <c r="J565" s="38">
        <v>38014.5</v>
      </c>
      <c r="K565" s="38">
        <v>45319.76</v>
      </c>
      <c r="L565" s="38">
        <v>140490.13</v>
      </c>
      <c r="M565" s="38">
        <v>3499.55</v>
      </c>
      <c r="N565" s="38">
        <v>0</v>
      </c>
      <c r="O565" s="38">
        <v>45659.54</v>
      </c>
      <c r="P565" s="38">
        <v>6382.8</v>
      </c>
      <c r="Q565" s="39">
        <f>SUM(H565:P565)</f>
        <v>489427.73</v>
      </c>
      <c r="R565" s="39">
        <v>153060.14000000001</v>
      </c>
      <c r="S565" s="38">
        <v>0</v>
      </c>
      <c r="T565" s="38"/>
      <c r="U565" s="38"/>
      <c r="V565" s="38"/>
      <c r="W565" s="83">
        <f>Q565+G565+R565</f>
        <v>1278219.5</v>
      </c>
      <c r="X565" s="41"/>
    </row>
    <row r="566" spans="1:24" ht="12.75" x14ac:dyDescent="0.2">
      <c r="A566" s="82" t="s">
        <v>42</v>
      </c>
      <c r="B566" s="141">
        <f t="shared" ref="B566:W566" si="159">B563+B565-B517</f>
        <v>153084.18</v>
      </c>
      <c r="C566" s="141">
        <f t="shared" si="159"/>
        <v>1309311.8400000001</v>
      </c>
      <c r="D566" s="141">
        <f t="shared" si="159"/>
        <v>2451938.64</v>
      </c>
      <c r="E566" s="141">
        <f t="shared" si="159"/>
        <v>1318469.2199999988</v>
      </c>
      <c r="F566" s="141">
        <f t="shared" si="159"/>
        <v>1109361.5999999999</v>
      </c>
      <c r="G566" s="39">
        <f t="shared" si="159"/>
        <v>6342165.4800000014</v>
      </c>
      <c r="H566" s="141">
        <f t="shared" si="159"/>
        <v>1520716.8000000007</v>
      </c>
      <c r="I566" s="141">
        <f t="shared" si="159"/>
        <v>346127.91000000015</v>
      </c>
      <c r="J566" s="141">
        <f t="shared" si="159"/>
        <v>812388.82000000041</v>
      </c>
      <c r="K566" s="141">
        <f t="shared" si="159"/>
        <v>707739.64000000013</v>
      </c>
      <c r="L566" s="141">
        <f t="shared" si="159"/>
        <v>1392847.48</v>
      </c>
      <c r="M566" s="141">
        <f t="shared" si="159"/>
        <v>155559.51000000033</v>
      </c>
      <c r="N566" s="141">
        <f t="shared" si="159"/>
        <v>511802.49000000005</v>
      </c>
      <c r="O566" s="141">
        <f t="shared" si="159"/>
        <v>1507651.659999999</v>
      </c>
      <c r="P566" s="141">
        <f t="shared" si="159"/>
        <v>177444.12000000017</v>
      </c>
      <c r="Q566" s="39">
        <f t="shared" si="159"/>
        <v>7132278.429999995</v>
      </c>
      <c r="R566" s="39">
        <f t="shared" si="159"/>
        <v>2106117.6700000023</v>
      </c>
      <c r="S566" s="38">
        <f>S563+S565</f>
        <v>0</v>
      </c>
      <c r="T566" s="38"/>
      <c r="U566" s="38"/>
      <c r="V566" s="38"/>
      <c r="W566" s="140">
        <f t="shared" si="159"/>
        <v>15580561.580000006</v>
      </c>
      <c r="X566" s="41">
        <f>W565+X563</f>
        <v>305795255.35999984</v>
      </c>
    </row>
    <row r="567" spans="1:24" ht="12.75" x14ac:dyDescent="0.2">
      <c r="A567" s="85"/>
      <c r="B567" s="44"/>
      <c r="C567" s="44"/>
      <c r="D567" s="44"/>
      <c r="E567" s="44"/>
      <c r="F567" s="44"/>
      <c r="G567" s="45"/>
      <c r="H567" s="44"/>
      <c r="I567" s="44"/>
      <c r="J567" s="44"/>
      <c r="K567" s="44"/>
      <c r="L567" s="44"/>
      <c r="M567" s="44"/>
      <c r="N567" s="44"/>
      <c r="O567" s="44"/>
      <c r="P567" s="44"/>
      <c r="Q567" s="45"/>
      <c r="R567" s="47"/>
      <c r="S567" s="43"/>
      <c r="T567" s="43"/>
      <c r="U567" s="43"/>
      <c r="V567" s="43"/>
      <c r="W567" s="86"/>
      <c r="X567" s="46"/>
    </row>
    <row r="568" spans="1:24" ht="12.75" x14ac:dyDescent="0.2">
      <c r="A568" s="82" t="s">
        <v>47</v>
      </c>
      <c r="B568" s="38">
        <v>21361.73</v>
      </c>
      <c r="C568" s="38">
        <v>119196.24</v>
      </c>
      <c r="D568" s="38">
        <v>249403.68</v>
      </c>
      <c r="E568" s="38">
        <v>221738.04</v>
      </c>
      <c r="F568" s="38">
        <v>99100.800000000003</v>
      </c>
      <c r="G568" s="39">
        <f>SUM(B568:F568)</f>
        <v>710800.49000000011</v>
      </c>
      <c r="H568" s="38">
        <v>275128.14</v>
      </c>
      <c r="I568" s="38">
        <v>63623.88</v>
      </c>
      <c r="J568" s="38">
        <v>46916.07</v>
      </c>
      <c r="K568" s="38">
        <v>100346.19</v>
      </c>
      <c r="L568" s="38">
        <v>179114.05</v>
      </c>
      <c r="M568" s="38">
        <v>13695.08</v>
      </c>
      <c r="N568" s="38">
        <v>29471.31</v>
      </c>
      <c r="O568" s="38">
        <v>135332.57999999999</v>
      </c>
      <c r="P568" s="38">
        <v>110417.27</v>
      </c>
      <c r="Q568" s="39">
        <f>SUM(H568:P568)</f>
        <v>954044.57000000007</v>
      </c>
      <c r="R568" s="39">
        <v>92833.34</v>
      </c>
      <c r="S568" s="38">
        <v>0</v>
      </c>
      <c r="T568" s="38"/>
      <c r="U568" s="38"/>
      <c r="V568" s="38"/>
      <c r="W568" s="83">
        <f>Q568+G568+R568</f>
        <v>1757678.4000000001</v>
      </c>
      <c r="X568" s="41"/>
    </row>
    <row r="569" spans="1:24" ht="12.75" x14ac:dyDescent="0.2">
      <c r="A569" s="82" t="s">
        <v>42</v>
      </c>
      <c r="B569" s="141">
        <f t="shared" ref="B569:W569" si="160">B566+B568-B520</f>
        <v>157520.15</v>
      </c>
      <c r="C569" s="141">
        <f t="shared" si="160"/>
        <v>1302035.04</v>
      </c>
      <c r="D569" s="141">
        <f t="shared" si="160"/>
        <v>2480837.2800000003</v>
      </c>
      <c r="E569" s="141">
        <f t="shared" si="160"/>
        <v>1446762.9599999988</v>
      </c>
      <c r="F569" s="141">
        <f t="shared" si="160"/>
        <v>1080343.7999999998</v>
      </c>
      <c r="G569" s="39">
        <f t="shared" si="160"/>
        <v>6467499.2300000014</v>
      </c>
      <c r="H569" s="141">
        <f t="shared" si="160"/>
        <v>1554213.3000000007</v>
      </c>
      <c r="I569" s="141">
        <f t="shared" si="160"/>
        <v>409751.79000000015</v>
      </c>
      <c r="J569" s="141">
        <f t="shared" si="160"/>
        <v>769730.64000000036</v>
      </c>
      <c r="K569" s="141">
        <f t="shared" si="160"/>
        <v>723140.26</v>
      </c>
      <c r="L569" s="141">
        <f t="shared" si="160"/>
        <v>1378867.93</v>
      </c>
      <c r="M569" s="141">
        <f t="shared" si="160"/>
        <v>165209.85000000033</v>
      </c>
      <c r="N569" s="141">
        <f t="shared" si="160"/>
        <v>489512.29000000004</v>
      </c>
      <c r="O569" s="141">
        <f t="shared" si="160"/>
        <v>1436833.2699999991</v>
      </c>
      <c r="P569" s="141">
        <f t="shared" si="160"/>
        <v>287861.39000000019</v>
      </c>
      <c r="Q569" s="39">
        <f t="shared" si="160"/>
        <v>7215120.7199999951</v>
      </c>
      <c r="R569" s="39">
        <f t="shared" si="160"/>
        <v>1963738.2700000021</v>
      </c>
      <c r="S569" s="38">
        <f>S566+S568</f>
        <v>0</v>
      </c>
      <c r="T569" s="38"/>
      <c r="U569" s="38"/>
      <c r="V569" s="38"/>
      <c r="W569" s="140">
        <f t="shared" si="160"/>
        <v>15646358.220000004</v>
      </c>
      <c r="X569" s="41">
        <f>W568+X566</f>
        <v>307552933.75999981</v>
      </c>
    </row>
    <row r="570" spans="1:24" ht="12.75" x14ac:dyDescent="0.2">
      <c r="A570" s="85"/>
      <c r="B570" s="43"/>
      <c r="C570" s="43"/>
      <c r="D570" s="43"/>
      <c r="E570" s="43"/>
      <c r="F570" s="43"/>
      <c r="G570" s="47"/>
      <c r="H570" s="43"/>
      <c r="I570" s="43"/>
      <c r="J570" s="43"/>
      <c r="K570" s="43"/>
      <c r="L570" s="43"/>
      <c r="M570" s="43"/>
      <c r="N570" s="43"/>
      <c r="O570" s="43"/>
      <c r="P570" s="43"/>
      <c r="Q570" s="47"/>
      <c r="R570" s="47"/>
      <c r="S570" s="43"/>
      <c r="T570" s="43"/>
      <c r="U570" s="43"/>
      <c r="V570" s="43"/>
      <c r="W570" s="87"/>
      <c r="X570" s="46"/>
    </row>
    <row r="571" spans="1:24" ht="12.75" x14ac:dyDescent="0.2">
      <c r="A571" s="82" t="s">
        <v>48</v>
      </c>
      <c r="B571" s="38">
        <v>19820.16</v>
      </c>
      <c r="C571" s="38">
        <v>108735.6</v>
      </c>
      <c r="D571" s="38">
        <v>256010.4</v>
      </c>
      <c r="E571" s="38">
        <v>232473.96</v>
      </c>
      <c r="F571" s="38">
        <v>79280.639999999999</v>
      </c>
      <c r="G571" s="39">
        <f>SUM(B571:F571)</f>
        <v>696320.76</v>
      </c>
      <c r="H571" s="38">
        <v>296803.75</v>
      </c>
      <c r="I571" s="38">
        <v>130589.02</v>
      </c>
      <c r="J571" s="38">
        <v>68023.23</v>
      </c>
      <c r="K571" s="38">
        <v>82496.92</v>
      </c>
      <c r="L571" s="38">
        <v>186816.63</v>
      </c>
      <c r="M571" s="38">
        <v>37966.5</v>
      </c>
      <c r="N571" s="38">
        <v>56584.54</v>
      </c>
      <c r="O571" s="38">
        <v>213375.23</v>
      </c>
      <c r="P571" s="38">
        <v>131272.28</v>
      </c>
      <c r="Q571" s="39">
        <f>SUM(H571:P571)</f>
        <v>1203928.1000000001</v>
      </c>
      <c r="R571" s="39">
        <v>290324.52</v>
      </c>
      <c r="S571" s="38">
        <v>0</v>
      </c>
      <c r="T571" s="38">
        <v>10740.57</v>
      </c>
      <c r="U571" s="38"/>
      <c r="V571" s="38"/>
      <c r="W571" s="83">
        <f>Q571+G571+R571</f>
        <v>2190573.38</v>
      </c>
      <c r="X571" s="41"/>
    </row>
    <row r="572" spans="1:24" ht="12.75" x14ac:dyDescent="0.2">
      <c r="A572" s="82" t="s">
        <v>42</v>
      </c>
      <c r="B572" s="141">
        <f t="shared" ref="B572:W572" si="161">B569+B571-B523</f>
        <v>155336.82</v>
      </c>
      <c r="C572" s="141">
        <f t="shared" si="161"/>
        <v>1289469.3600000001</v>
      </c>
      <c r="D572" s="141">
        <f t="shared" si="161"/>
        <v>2529507.12</v>
      </c>
      <c r="E572" s="141">
        <f t="shared" si="161"/>
        <v>1595665.9799999988</v>
      </c>
      <c r="F572" s="141">
        <f t="shared" si="161"/>
        <v>1074290.3999999997</v>
      </c>
      <c r="G572" s="39">
        <f t="shared" si="161"/>
        <v>6644269.6800000016</v>
      </c>
      <c r="H572" s="141">
        <f t="shared" si="161"/>
        <v>1628974.6500000008</v>
      </c>
      <c r="I572" s="141">
        <f t="shared" si="161"/>
        <v>495448.08000000019</v>
      </c>
      <c r="J572" s="141">
        <f t="shared" si="161"/>
        <v>731570.61000000034</v>
      </c>
      <c r="K572" s="141">
        <f t="shared" si="161"/>
        <v>693999.9800000001</v>
      </c>
      <c r="L572" s="141">
        <f t="shared" si="161"/>
        <v>1404115.62</v>
      </c>
      <c r="M572" s="141">
        <f t="shared" si="161"/>
        <v>172061.91000000032</v>
      </c>
      <c r="N572" s="141">
        <f t="shared" si="161"/>
        <v>485317.31000000006</v>
      </c>
      <c r="O572" s="141">
        <f t="shared" si="161"/>
        <v>1441566.7899999991</v>
      </c>
      <c r="P572" s="141">
        <f t="shared" si="161"/>
        <v>419133.67000000016</v>
      </c>
      <c r="Q572" s="39">
        <f t="shared" si="161"/>
        <v>7472188.6199999945</v>
      </c>
      <c r="R572" s="39">
        <f t="shared" si="161"/>
        <v>2038982.5400000019</v>
      </c>
      <c r="S572" s="38">
        <f>S569+S571</f>
        <v>0</v>
      </c>
      <c r="T572" s="38">
        <f>T569+T571</f>
        <v>10740.57</v>
      </c>
      <c r="U572" s="38"/>
      <c r="V572" s="38"/>
      <c r="W572" s="140">
        <f t="shared" si="161"/>
        <v>16155440.840000005</v>
      </c>
      <c r="X572" s="41">
        <f>W571+X569</f>
        <v>309743507.13999981</v>
      </c>
    </row>
    <row r="573" spans="1:24" ht="12.75" x14ac:dyDescent="0.2">
      <c r="A573" s="85"/>
      <c r="B573" s="44"/>
      <c r="C573" s="44"/>
      <c r="D573" s="44"/>
      <c r="E573" s="44"/>
      <c r="F573" s="44"/>
      <c r="G573" s="45"/>
      <c r="H573" s="44"/>
      <c r="I573" s="44"/>
      <c r="J573" s="44"/>
      <c r="K573" s="44"/>
      <c r="L573" s="44"/>
      <c r="M573" s="44"/>
      <c r="N573" s="44"/>
      <c r="O573" s="44"/>
      <c r="P573" s="44"/>
      <c r="Q573" s="45"/>
      <c r="R573" s="47"/>
      <c r="S573" s="43"/>
      <c r="T573" s="43"/>
      <c r="U573" s="43"/>
      <c r="V573" s="43"/>
      <c r="W573" s="86"/>
      <c r="X573" s="46"/>
    </row>
    <row r="574" spans="1:24" ht="12.75" x14ac:dyDescent="0.2">
      <c r="A574" s="82" t="s">
        <v>49</v>
      </c>
      <c r="B574" s="38">
        <v>19599.939999999999</v>
      </c>
      <c r="C574" s="38">
        <v>99651.36</v>
      </c>
      <c r="D574" s="38">
        <v>288493.44</v>
      </c>
      <c r="E574" s="38">
        <v>261378.36</v>
      </c>
      <c r="F574" s="38">
        <v>85336.8</v>
      </c>
      <c r="G574" s="39">
        <f>SUM(B574:F574)</f>
        <v>754459.9</v>
      </c>
      <c r="H574" s="38">
        <v>227914.79</v>
      </c>
      <c r="I574" s="38">
        <v>0</v>
      </c>
      <c r="J574" s="38">
        <v>73494</v>
      </c>
      <c r="K574" s="38">
        <v>87657.5</v>
      </c>
      <c r="L574" s="38">
        <v>200141.95</v>
      </c>
      <c r="M574" s="38">
        <v>33324.559999999998</v>
      </c>
      <c r="N574" s="38">
        <v>60570.54</v>
      </c>
      <c r="O574" s="38">
        <v>214987.99</v>
      </c>
      <c r="P574" s="38">
        <v>119185.76</v>
      </c>
      <c r="Q574" s="39">
        <f>SUM(H574:P574)</f>
        <v>1017277.0900000001</v>
      </c>
      <c r="R574" s="39">
        <v>259731.09</v>
      </c>
      <c r="S574" s="38">
        <f>40564-16340</f>
        <v>24224</v>
      </c>
      <c r="T574" s="38">
        <v>6411.3</v>
      </c>
      <c r="U574" s="38"/>
      <c r="V574" s="38"/>
      <c r="W574" s="83">
        <f>Q574+G574+R574+S574*0</f>
        <v>2031468.0800000003</v>
      </c>
      <c r="X574" s="41"/>
    </row>
    <row r="575" spans="1:24" ht="12.75" x14ac:dyDescent="0.2">
      <c r="A575" s="82" t="s">
        <v>42</v>
      </c>
      <c r="B575" s="141">
        <f t="shared" ref="B575:W575" si="162">B572+B574-B526</f>
        <v>160267.77000000002</v>
      </c>
      <c r="C575" s="141">
        <f t="shared" si="162"/>
        <v>1296969.3600000001</v>
      </c>
      <c r="D575" s="141">
        <f t="shared" si="162"/>
        <v>2623824.48</v>
      </c>
      <c r="E575" s="141">
        <f t="shared" si="162"/>
        <v>1775589.1199999989</v>
      </c>
      <c r="F575" s="141">
        <f t="shared" si="162"/>
        <v>1072647.5999999996</v>
      </c>
      <c r="G575" s="39">
        <f t="shared" si="162"/>
        <v>6929298.3300000019</v>
      </c>
      <c r="H575" s="141">
        <f t="shared" si="162"/>
        <v>1694814.6200000008</v>
      </c>
      <c r="I575" s="141">
        <f t="shared" si="162"/>
        <v>426500.05000000016</v>
      </c>
      <c r="J575" s="141">
        <f t="shared" si="162"/>
        <v>708616.38000000035</v>
      </c>
      <c r="K575" s="141">
        <f t="shared" si="162"/>
        <v>680766.35000000009</v>
      </c>
      <c r="L575" s="141">
        <f t="shared" si="162"/>
        <v>1457550.35</v>
      </c>
      <c r="M575" s="141">
        <f t="shared" si="162"/>
        <v>169375.29000000033</v>
      </c>
      <c r="N575" s="141">
        <f t="shared" si="162"/>
        <v>468481.26000000013</v>
      </c>
      <c r="O575" s="141">
        <f t="shared" si="162"/>
        <v>1436017.3699999992</v>
      </c>
      <c r="P575" s="141">
        <f t="shared" si="162"/>
        <v>530450.86000000022</v>
      </c>
      <c r="Q575" s="39">
        <f t="shared" si="162"/>
        <v>7572572.5299999956</v>
      </c>
      <c r="R575" s="39">
        <f t="shared" si="162"/>
        <v>2070350.4400000018</v>
      </c>
      <c r="S575" s="38">
        <f>S572+S574</f>
        <v>24224</v>
      </c>
      <c r="T575" s="38">
        <f>T572+T574</f>
        <v>17151.87</v>
      </c>
      <c r="U575" s="38"/>
      <c r="V575" s="38"/>
      <c r="W575" s="140">
        <f t="shared" si="162"/>
        <v>16572221.300000004</v>
      </c>
      <c r="X575" s="41">
        <f>W574+X572</f>
        <v>311774975.21999979</v>
      </c>
    </row>
    <row r="576" spans="1:24" ht="12.75" x14ac:dyDescent="0.2">
      <c r="A576" s="85"/>
      <c r="B576" s="43"/>
      <c r="C576" s="43"/>
      <c r="D576" s="43"/>
      <c r="E576" s="43"/>
      <c r="F576" s="43"/>
      <c r="G576" s="47"/>
      <c r="H576" s="43"/>
      <c r="I576" s="43"/>
      <c r="J576" s="43"/>
      <c r="K576" s="43"/>
      <c r="L576" s="43"/>
      <c r="M576" s="43"/>
      <c r="N576" s="43"/>
      <c r="O576" s="43"/>
      <c r="P576" s="43"/>
      <c r="Q576" s="47"/>
      <c r="R576" s="47"/>
      <c r="S576" s="43"/>
      <c r="T576" s="43"/>
      <c r="U576" s="43"/>
      <c r="V576" s="43"/>
      <c r="W576" s="87"/>
      <c r="X576" s="46"/>
    </row>
    <row r="577" spans="1:24" ht="12.75" x14ac:dyDescent="0.2">
      <c r="A577" s="82" t="s">
        <v>50</v>
      </c>
      <c r="B577" s="38">
        <v>20701.060000000001</v>
      </c>
      <c r="C577" s="38">
        <v>116718.72</v>
      </c>
      <c r="D577" s="38">
        <v>279684.47999999998</v>
      </c>
      <c r="E577" s="38">
        <v>285740.64</v>
      </c>
      <c r="F577" s="38">
        <v>61112.160000000003</v>
      </c>
      <c r="G577" s="39">
        <f>SUM(B577:F577)</f>
        <v>763957.06</v>
      </c>
      <c r="H577" s="38">
        <v>173249.38</v>
      </c>
      <c r="I577" s="38">
        <v>0</v>
      </c>
      <c r="J577" s="38">
        <v>102508.48</v>
      </c>
      <c r="K577" s="38">
        <v>102102.45</v>
      </c>
      <c r="L577" s="38">
        <v>196220.75</v>
      </c>
      <c r="M577" s="38">
        <v>32246.03</v>
      </c>
      <c r="N577" s="38">
        <v>60563.73</v>
      </c>
      <c r="O577" s="38">
        <v>200363.93</v>
      </c>
      <c r="P577" s="38">
        <v>42363.08</v>
      </c>
      <c r="Q577" s="39">
        <f>SUM(H577:P577)</f>
        <v>909617.83</v>
      </c>
      <c r="R577" s="39">
        <v>292236.84999999998</v>
      </c>
      <c r="S577" s="38">
        <v>16340</v>
      </c>
      <c r="T577" s="38">
        <v>10475.299999999999</v>
      </c>
      <c r="U577" s="38"/>
      <c r="V577" s="38"/>
      <c r="W577" s="83">
        <f>Q577+G577+R577+S577*0</f>
        <v>1965811.7400000002</v>
      </c>
      <c r="X577" s="41"/>
    </row>
    <row r="578" spans="1:24" ht="12.75" x14ac:dyDescent="0.2">
      <c r="A578" s="82" t="s">
        <v>42</v>
      </c>
      <c r="B578" s="141">
        <f t="shared" ref="B578:W578" si="163">B575+B577-B529</f>
        <v>159153.41000000003</v>
      </c>
      <c r="C578" s="141">
        <f t="shared" si="163"/>
        <v>1314954.48</v>
      </c>
      <c r="D578" s="141">
        <f t="shared" si="163"/>
        <v>2677832.16</v>
      </c>
      <c r="E578" s="141">
        <f t="shared" si="163"/>
        <v>2041935.6599999988</v>
      </c>
      <c r="F578" s="141">
        <f t="shared" si="163"/>
        <v>1055713.1999999995</v>
      </c>
      <c r="G578" s="39">
        <f t="shared" si="163"/>
        <v>7249588.910000002</v>
      </c>
      <c r="H578" s="141">
        <f t="shared" si="163"/>
        <v>1670309.9700000009</v>
      </c>
      <c r="I578" s="141">
        <f t="shared" si="163"/>
        <v>381911.69000000018</v>
      </c>
      <c r="J578" s="141">
        <f t="shared" si="163"/>
        <v>710327.36000000034</v>
      </c>
      <c r="K578" s="141">
        <f t="shared" si="163"/>
        <v>701714.97000000009</v>
      </c>
      <c r="L578" s="141">
        <f t="shared" si="163"/>
        <v>1482090.8800000001</v>
      </c>
      <c r="M578" s="141">
        <f t="shared" si="163"/>
        <v>172263.53000000032</v>
      </c>
      <c r="N578" s="141">
        <f t="shared" si="163"/>
        <v>475896.47000000009</v>
      </c>
      <c r="O578" s="141">
        <f t="shared" si="163"/>
        <v>1438239.3199999991</v>
      </c>
      <c r="P578" s="141">
        <f t="shared" si="163"/>
        <v>572813.94000000018</v>
      </c>
      <c r="Q578" s="39">
        <f t="shared" si="163"/>
        <v>7605568.1299999952</v>
      </c>
      <c r="R578" s="39">
        <f t="shared" si="163"/>
        <v>2174634.390000002</v>
      </c>
      <c r="S578" s="38">
        <f>S575+S577</f>
        <v>40564</v>
      </c>
      <c r="T578" s="38">
        <f>T575+T577</f>
        <v>27627.17</v>
      </c>
      <c r="U578" s="38"/>
      <c r="V578" s="38"/>
      <c r="W578" s="140">
        <f t="shared" si="163"/>
        <v>17029791.430000007</v>
      </c>
      <c r="X578" s="41">
        <f>W577+X575</f>
        <v>313740786.9599998</v>
      </c>
    </row>
    <row r="579" spans="1:24" ht="12.75" x14ac:dyDescent="0.2">
      <c r="A579" s="85"/>
      <c r="B579" s="43"/>
      <c r="C579" s="43"/>
      <c r="D579" s="43"/>
      <c r="E579" s="43"/>
      <c r="F579" s="43"/>
      <c r="G579" s="47"/>
      <c r="H579" s="43"/>
      <c r="I579" s="43"/>
      <c r="J579" s="43"/>
      <c r="K579" s="43"/>
      <c r="L579" s="43"/>
      <c r="M579" s="43"/>
      <c r="N579" s="43"/>
      <c r="O579" s="43"/>
      <c r="P579" s="43"/>
      <c r="Q579" s="47"/>
      <c r="R579" s="47"/>
      <c r="S579" s="43"/>
      <c r="T579" s="43"/>
      <c r="U579" s="43"/>
      <c r="V579" s="43"/>
      <c r="W579" s="87"/>
      <c r="X579" s="46"/>
    </row>
    <row r="580" spans="1:24" ht="12.75" x14ac:dyDescent="0.2">
      <c r="A580" s="82" t="s">
        <v>51</v>
      </c>
      <c r="B580" s="38">
        <v>18939.259999999998</v>
      </c>
      <c r="C580" s="38">
        <v>103505.28</v>
      </c>
      <c r="D580" s="38">
        <v>238943.04</v>
      </c>
      <c r="E580" s="38">
        <v>192833.64</v>
      </c>
      <c r="F580" s="38">
        <v>87814.32</v>
      </c>
      <c r="G580" s="39">
        <f>SUM(B580:F580)</f>
        <v>642035.54</v>
      </c>
      <c r="H580" s="38">
        <v>175670.44</v>
      </c>
      <c r="I580" s="38">
        <v>99639.87</v>
      </c>
      <c r="J580" s="38">
        <v>58065.27</v>
      </c>
      <c r="K580" s="38">
        <v>62901.22</v>
      </c>
      <c r="L580" s="38">
        <v>133987.26</v>
      </c>
      <c r="M580" s="38">
        <v>0</v>
      </c>
      <c r="N580" s="38">
        <v>38239.19</v>
      </c>
      <c r="O580" s="38">
        <v>82561.05</v>
      </c>
      <c r="P580" s="38">
        <v>26983.61</v>
      </c>
      <c r="Q580" s="39">
        <f>SUM(H580:P580)</f>
        <v>678047.91</v>
      </c>
      <c r="R580" s="39">
        <v>245632.09</v>
      </c>
      <c r="S580" s="38">
        <v>76000</v>
      </c>
      <c r="T580" s="38">
        <v>8233.83</v>
      </c>
      <c r="U580" s="38"/>
      <c r="V580" s="38"/>
      <c r="W580" s="83">
        <f>Q580+G580+R580+S580*0</f>
        <v>1565715.5400000003</v>
      </c>
      <c r="X580" s="41"/>
    </row>
    <row r="581" spans="1:24" ht="12.75" x14ac:dyDescent="0.2">
      <c r="A581" s="82" t="s">
        <v>42</v>
      </c>
      <c r="B581" s="141">
        <f t="shared" ref="B581:W581" si="164">B578+B580-B532</f>
        <v>159662.40000000005</v>
      </c>
      <c r="C581" s="141">
        <f t="shared" si="164"/>
        <v>1374734.8800000001</v>
      </c>
      <c r="D581" s="141">
        <f t="shared" si="164"/>
        <v>2747047.4400000004</v>
      </c>
      <c r="E581" s="141">
        <f t="shared" si="164"/>
        <v>2037302.0999999989</v>
      </c>
      <c r="F581" s="141">
        <f t="shared" si="164"/>
        <v>1052081.3999999994</v>
      </c>
      <c r="G581" s="39">
        <f t="shared" si="164"/>
        <v>7370828.2200000025</v>
      </c>
      <c r="H581" s="141">
        <f t="shared" si="164"/>
        <v>1713827.7200000009</v>
      </c>
      <c r="I581" s="141">
        <f t="shared" si="164"/>
        <v>462866.75000000017</v>
      </c>
      <c r="J581" s="141">
        <f t="shared" si="164"/>
        <v>726457.24000000034</v>
      </c>
      <c r="K581" s="141">
        <f t="shared" si="164"/>
        <v>714766.79</v>
      </c>
      <c r="L581" s="141">
        <f t="shared" si="164"/>
        <v>1532075.08</v>
      </c>
      <c r="M581" s="141">
        <f t="shared" si="164"/>
        <v>158637.93000000031</v>
      </c>
      <c r="N581" s="141">
        <f t="shared" si="164"/>
        <v>472867.99000000011</v>
      </c>
      <c r="O581" s="141">
        <f t="shared" si="164"/>
        <v>1387575.1499999992</v>
      </c>
      <c r="P581" s="141">
        <f t="shared" si="164"/>
        <v>519764.28000000014</v>
      </c>
      <c r="Q581" s="39">
        <f t="shared" si="164"/>
        <v>7688838.929999995</v>
      </c>
      <c r="R581" s="39">
        <f t="shared" si="164"/>
        <v>2300345.3000000017</v>
      </c>
      <c r="S581" s="38">
        <f>S578+S580</f>
        <v>116564</v>
      </c>
      <c r="T581" s="38">
        <f>T578+T580</f>
        <v>35861</v>
      </c>
      <c r="U581" s="38"/>
      <c r="V581" s="38"/>
      <c r="W581" s="140">
        <f t="shared" si="164"/>
        <v>17360012.450000007</v>
      </c>
      <c r="X581" s="41">
        <f>W580+X578</f>
        <v>315306502.49999982</v>
      </c>
    </row>
    <row r="582" spans="1:24" ht="12.75" x14ac:dyDescent="0.2">
      <c r="A582" s="85"/>
      <c r="B582" s="44"/>
      <c r="C582" s="44"/>
      <c r="D582" s="44"/>
      <c r="E582" s="44"/>
      <c r="F582" s="44"/>
      <c r="G582" s="45"/>
      <c r="H582" s="44"/>
      <c r="I582" s="44"/>
      <c r="J582" s="44"/>
      <c r="K582" s="44"/>
      <c r="L582" s="44"/>
      <c r="M582" s="44"/>
      <c r="N582" s="44"/>
      <c r="O582" s="44"/>
      <c r="P582" s="44"/>
      <c r="Q582" s="45"/>
      <c r="R582" s="47"/>
      <c r="S582" s="43"/>
      <c r="T582" s="43"/>
      <c r="U582" s="43"/>
      <c r="V582" s="43"/>
      <c r="W582" s="86"/>
      <c r="X582" s="46"/>
    </row>
    <row r="583" spans="1:24" ht="12.75" x14ac:dyDescent="0.2">
      <c r="A583" s="82" t="s">
        <v>52</v>
      </c>
      <c r="B583" s="38">
        <v>1982.02</v>
      </c>
      <c r="C583" s="38">
        <v>66895.02</v>
      </c>
      <c r="D583" s="38">
        <v>218021.76000000001</v>
      </c>
      <c r="E583" s="38">
        <v>226833.08</v>
      </c>
      <c r="F583" s="38">
        <v>125834.73</v>
      </c>
      <c r="G583" s="39">
        <f>SUM(B583:F583)</f>
        <v>639566.61</v>
      </c>
      <c r="H583" s="38">
        <v>64667.21</v>
      </c>
      <c r="I583" s="38">
        <v>0</v>
      </c>
      <c r="J583" s="38">
        <v>55457.93</v>
      </c>
      <c r="K583" s="38">
        <v>59705.66</v>
      </c>
      <c r="L583" s="38">
        <v>92063.48</v>
      </c>
      <c r="M583" s="38">
        <v>1244.48</v>
      </c>
      <c r="N583" s="38">
        <v>43271.43</v>
      </c>
      <c r="O583" s="38">
        <v>104655.14</v>
      </c>
      <c r="P583" s="38">
        <v>32249.68</v>
      </c>
      <c r="Q583" s="39">
        <f>SUM(H583:P583)</f>
        <v>453315.00999999995</v>
      </c>
      <c r="R583" s="39">
        <v>288334.7</v>
      </c>
      <c r="S583" s="38">
        <v>0</v>
      </c>
      <c r="T583" s="38">
        <v>10220.86</v>
      </c>
      <c r="U583" s="38"/>
      <c r="V583" s="38"/>
      <c r="W583" s="83">
        <f>Q583+G583+R583+S583*0</f>
        <v>1381216.3199999998</v>
      </c>
      <c r="X583" s="41"/>
    </row>
    <row r="584" spans="1:24" ht="12.75" x14ac:dyDescent="0.2">
      <c r="A584" s="82" t="s">
        <v>42</v>
      </c>
      <c r="B584" s="141">
        <f t="shared" ref="B584:W584" si="165">B581+B583-B535</f>
        <v>161644.42000000004</v>
      </c>
      <c r="C584" s="141">
        <f t="shared" si="165"/>
        <v>1353239.82</v>
      </c>
      <c r="D584" s="141">
        <f t="shared" si="165"/>
        <v>2868216.24</v>
      </c>
      <c r="E584" s="141">
        <f t="shared" si="165"/>
        <v>2048331.7399999988</v>
      </c>
      <c r="F584" s="141">
        <f t="shared" si="165"/>
        <v>1087175.2499999995</v>
      </c>
      <c r="G584" s="39">
        <f t="shared" si="165"/>
        <v>7518607.4700000025</v>
      </c>
      <c r="H584" s="141">
        <f t="shared" si="165"/>
        <v>1728645.4700000009</v>
      </c>
      <c r="I584" s="141">
        <f t="shared" si="165"/>
        <v>462866.75000000017</v>
      </c>
      <c r="J584" s="141">
        <f t="shared" si="165"/>
        <v>733050.9300000004</v>
      </c>
      <c r="K584" s="141">
        <f t="shared" si="165"/>
        <v>720399.91</v>
      </c>
      <c r="L584" s="141">
        <f t="shared" si="165"/>
        <v>1561001.27</v>
      </c>
      <c r="M584" s="141">
        <f t="shared" si="165"/>
        <v>152523.28000000032</v>
      </c>
      <c r="N584" s="141">
        <f t="shared" si="165"/>
        <v>474055.0500000001</v>
      </c>
      <c r="O584" s="141">
        <f t="shared" si="165"/>
        <v>1364650.6099999992</v>
      </c>
      <c r="P584" s="141">
        <f t="shared" si="165"/>
        <v>480687.29000000021</v>
      </c>
      <c r="Q584" s="39">
        <f t="shared" si="165"/>
        <v>7677880.5599999949</v>
      </c>
      <c r="R584" s="39">
        <f t="shared" si="165"/>
        <v>2433315.0600000019</v>
      </c>
      <c r="S584" s="38">
        <f>S581+S583</f>
        <v>116564</v>
      </c>
      <c r="T584" s="38">
        <f>T581+T583</f>
        <v>46081.86</v>
      </c>
      <c r="U584" s="38"/>
      <c r="V584" s="38"/>
      <c r="W584" s="140">
        <f t="shared" si="165"/>
        <v>17629803.090000007</v>
      </c>
      <c r="X584" s="41">
        <f>W583+X581</f>
        <v>316687718.81999981</v>
      </c>
    </row>
    <row r="585" spans="1:24" ht="12.75" x14ac:dyDescent="0.2">
      <c r="A585" s="85"/>
      <c r="B585" s="43"/>
      <c r="C585" s="43"/>
      <c r="D585" s="43"/>
      <c r="E585" s="43"/>
      <c r="F585" s="43"/>
      <c r="G585" s="47"/>
      <c r="H585" s="43"/>
      <c r="I585" s="43"/>
      <c r="J585" s="43"/>
      <c r="K585" s="43"/>
      <c r="L585" s="43"/>
      <c r="M585" s="43"/>
      <c r="N585" s="43"/>
      <c r="O585" s="43"/>
      <c r="P585" s="43"/>
      <c r="Q585" s="47"/>
      <c r="R585" s="47"/>
      <c r="S585" s="43"/>
      <c r="T585" s="43"/>
      <c r="U585" s="43"/>
      <c r="V585" s="43"/>
      <c r="W585" s="87"/>
      <c r="X585" s="46"/>
    </row>
    <row r="586" spans="1:24" ht="12.75" x14ac:dyDescent="0.2">
      <c r="A586" s="82" t="s">
        <v>53</v>
      </c>
      <c r="B586" s="38">
        <v>0</v>
      </c>
      <c r="C586" s="38">
        <v>5780.88</v>
      </c>
      <c r="D586" s="38">
        <v>258308.22</v>
      </c>
      <c r="E586" s="38">
        <v>189530.28</v>
      </c>
      <c r="F586" s="38">
        <v>46247.040000000001</v>
      </c>
      <c r="G586" s="39">
        <f>SUM(B586:F586)</f>
        <v>499866.42</v>
      </c>
      <c r="H586" s="38">
        <v>76899.55</v>
      </c>
      <c r="I586" s="38">
        <v>0</v>
      </c>
      <c r="J586" s="38">
        <v>46509.94</v>
      </c>
      <c r="K586" s="38">
        <v>54599.6</v>
      </c>
      <c r="L586" s="38">
        <v>124799.22</v>
      </c>
      <c r="M586" s="38">
        <v>0</v>
      </c>
      <c r="N586" s="38">
        <v>17309.64</v>
      </c>
      <c r="O586" s="38">
        <v>134201.88</v>
      </c>
      <c r="P586" s="38">
        <v>0</v>
      </c>
      <c r="Q586" s="39">
        <f>SUM(H586:P586)</f>
        <v>454319.83</v>
      </c>
      <c r="R586" s="39">
        <v>223063.73</v>
      </c>
      <c r="S586" s="38">
        <v>0</v>
      </c>
      <c r="T586" s="38">
        <v>6163.76</v>
      </c>
      <c r="U586" s="38"/>
      <c r="V586" s="38"/>
      <c r="W586" s="83">
        <f>Q586+G586+R586+S586*0</f>
        <v>1177249.98</v>
      </c>
      <c r="X586" s="41"/>
    </row>
    <row r="587" spans="1:24" ht="13.5" thickBot="1" x14ac:dyDescent="0.25">
      <c r="A587" s="88" t="s">
        <v>42</v>
      </c>
      <c r="B587" s="143">
        <f t="shared" ref="B587:R587" si="166">B584+B586-B538</f>
        <v>161644.42000000004</v>
      </c>
      <c r="C587" s="143">
        <f t="shared" si="166"/>
        <v>1242891.18</v>
      </c>
      <c r="D587" s="143">
        <f t="shared" si="166"/>
        <v>2903198.4600000004</v>
      </c>
      <c r="E587" s="143">
        <f t="shared" si="166"/>
        <v>2076714.6799999985</v>
      </c>
      <c r="F587" s="143">
        <f t="shared" si="166"/>
        <v>1033983.4499999996</v>
      </c>
      <c r="G587" s="50">
        <f t="shared" si="166"/>
        <v>7418432.1900000023</v>
      </c>
      <c r="H587" s="143">
        <f t="shared" si="166"/>
        <v>1800017.2400000009</v>
      </c>
      <c r="I587" s="143">
        <f t="shared" si="166"/>
        <v>462866.75000000017</v>
      </c>
      <c r="J587" s="143">
        <f t="shared" si="166"/>
        <v>723058.50000000035</v>
      </c>
      <c r="K587" s="143">
        <f t="shared" si="166"/>
        <v>720282.53</v>
      </c>
      <c r="L587" s="198">
        <f t="shared" si="166"/>
        <v>1685800.49</v>
      </c>
      <c r="M587" s="143">
        <f t="shared" si="166"/>
        <v>152523.28000000032</v>
      </c>
      <c r="N587" s="143">
        <f t="shared" si="166"/>
        <v>451577.33000000013</v>
      </c>
      <c r="O587" s="143">
        <f t="shared" si="166"/>
        <v>1418647.3499999994</v>
      </c>
      <c r="P587" s="143">
        <f t="shared" si="166"/>
        <v>480687.29000000021</v>
      </c>
      <c r="Q587" s="50">
        <f t="shared" si="166"/>
        <v>7895460.7599999951</v>
      </c>
      <c r="R587" s="50">
        <f t="shared" si="166"/>
        <v>2467648.410000002</v>
      </c>
      <c r="S587" s="206">
        <f>S584+S586</f>
        <v>116564</v>
      </c>
      <c r="T587" s="206">
        <f>T584+T586</f>
        <v>52245.62</v>
      </c>
      <c r="U587" s="213"/>
      <c r="V587" s="213"/>
      <c r="W587" s="144">
        <f>(W584+W586-W538)*1</f>
        <v>17781541.360000007</v>
      </c>
      <c r="X587" s="51">
        <f>W586+X584</f>
        <v>317864968.79999983</v>
      </c>
    </row>
    <row r="588" spans="1:24" ht="12.75" x14ac:dyDescent="0.2">
      <c r="A588" s="92"/>
      <c r="C588" s="90"/>
      <c r="D588" s="90"/>
      <c r="E588" s="90"/>
      <c r="F588" s="90"/>
      <c r="G588" s="90"/>
      <c r="I588" s="90"/>
      <c r="J588" s="90"/>
      <c r="K588" s="90"/>
      <c r="L588" s="90"/>
      <c r="M588" s="90"/>
      <c r="N588" s="90"/>
      <c r="O588" s="171"/>
      <c r="P588" s="90"/>
      <c r="Q588" s="52" t="s">
        <v>188</v>
      </c>
      <c r="S588" s="52"/>
      <c r="T588" s="52"/>
      <c r="U588" s="52"/>
      <c r="V588" s="52"/>
      <c r="W588" s="90"/>
      <c r="X588" s="91"/>
    </row>
    <row r="589" spans="1:24" ht="12.75" x14ac:dyDescent="0.2">
      <c r="B589" s="1" t="s">
        <v>131</v>
      </c>
      <c r="P589" t="s">
        <v>122</v>
      </c>
      <c r="X589" s="9"/>
    </row>
    <row r="591" spans="1:24" ht="12.75" x14ac:dyDescent="0.2">
      <c r="G591" s="225" t="s">
        <v>60</v>
      </c>
      <c r="Q591" s="225"/>
      <c r="R591" s="225"/>
      <c r="S591" s="225"/>
      <c r="T591" s="225"/>
      <c r="W591" s="225">
        <f>W553+W556+W559+W562+W565+W568+W571+W574+W577+W580+W583+W586</f>
        <v>17781541.359999999</v>
      </c>
    </row>
    <row r="592" spans="1:24" ht="27" x14ac:dyDescent="0.35">
      <c r="A592" s="133" t="s">
        <v>132</v>
      </c>
      <c r="B592" s="54"/>
      <c r="C592" s="122"/>
      <c r="D592" s="58"/>
      <c r="E592" s="127"/>
      <c r="F592" s="128"/>
      <c r="G592" s="127"/>
      <c r="H592" s="129"/>
      <c r="I592" s="130"/>
      <c r="J592" s="130"/>
      <c r="K592" s="130"/>
      <c r="L592" s="130"/>
      <c r="M592" s="130"/>
      <c r="N592" s="130"/>
      <c r="O592" s="130"/>
      <c r="P592" s="130"/>
      <c r="Q592" s="130"/>
      <c r="R592" s="128"/>
      <c r="S592" s="128"/>
      <c r="T592" s="128"/>
      <c r="U592" s="128"/>
      <c r="V592" s="128"/>
      <c r="W592" s="130"/>
      <c r="X592" s="131"/>
    </row>
    <row r="593" spans="1:27" ht="15.75" x14ac:dyDescent="0.25">
      <c r="A593" s="136"/>
      <c r="B593" s="170"/>
      <c r="C593" s="54"/>
      <c r="D593" s="53"/>
      <c r="E593" s="53"/>
      <c r="F593" s="132"/>
      <c r="G593" s="55"/>
      <c r="H593" s="55"/>
      <c r="I593" s="55"/>
      <c r="J593" s="54"/>
      <c r="K593" s="56"/>
      <c r="L593" s="57"/>
      <c r="M593" s="54"/>
      <c r="N593" s="54" t="s">
        <v>60</v>
      </c>
      <c r="O593" s="54"/>
      <c r="P593" s="54"/>
      <c r="Q593" s="57"/>
      <c r="R593" s="58"/>
      <c r="S593" s="58"/>
      <c r="T593" s="58"/>
      <c r="U593" s="58"/>
      <c r="V593" s="58"/>
      <c r="W593" s="54"/>
      <c r="X593" s="54"/>
    </row>
    <row r="594" spans="1:27" ht="27" x14ac:dyDescent="0.35">
      <c r="A594" s="134" t="s">
        <v>6</v>
      </c>
      <c r="B594" s="122"/>
      <c r="C594" s="122"/>
      <c r="D594" s="122"/>
      <c r="E594" s="122"/>
      <c r="F594" s="122"/>
      <c r="G594" s="122"/>
      <c r="H594" s="122"/>
      <c r="I594" s="122"/>
      <c r="J594" s="122"/>
      <c r="K594" s="122"/>
      <c r="L594" s="122"/>
      <c r="M594" s="122"/>
      <c r="N594" s="122"/>
      <c r="O594" s="122"/>
      <c r="P594" s="122"/>
      <c r="Q594" s="122"/>
      <c r="R594" s="122"/>
      <c r="S594" s="122"/>
      <c r="T594" s="122"/>
      <c r="U594" s="122"/>
      <c r="V594" s="122"/>
      <c r="W594" s="142"/>
      <c r="X594" s="122"/>
    </row>
    <row r="595" spans="1:27" ht="12" thickBot="1" x14ac:dyDescent="0.25">
      <c r="B595" s="2"/>
      <c r="C595" s="2"/>
      <c r="D595" s="2"/>
      <c r="E595" s="2"/>
      <c r="F595" s="59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 t="s">
        <v>60</v>
      </c>
      <c r="W595" s="2"/>
      <c r="X595" s="57"/>
    </row>
    <row r="596" spans="1:27" x14ac:dyDescent="0.2">
      <c r="A596" s="14"/>
      <c r="B596" s="15"/>
      <c r="C596" s="15"/>
      <c r="D596" s="15"/>
      <c r="E596" s="15"/>
      <c r="F596" s="15"/>
      <c r="G596" s="15"/>
      <c r="H596" s="15"/>
      <c r="I596" s="15"/>
      <c r="J596" s="15"/>
      <c r="K596" s="15"/>
      <c r="L596" s="15"/>
      <c r="M596" s="15"/>
      <c r="N596" s="15"/>
      <c r="O596" s="15"/>
      <c r="P596" s="15"/>
      <c r="Q596" s="15"/>
      <c r="R596" s="16"/>
      <c r="S596" s="16"/>
      <c r="T596" s="16"/>
      <c r="U596" s="16"/>
      <c r="V596" s="16"/>
      <c r="W596" s="15"/>
      <c r="X596" s="60" t="s">
        <v>60</v>
      </c>
    </row>
    <row r="597" spans="1:27" ht="13.5" thickBot="1" x14ac:dyDescent="0.25">
      <c r="A597" s="18"/>
      <c r="B597" s="61"/>
      <c r="C597" s="62"/>
      <c r="D597" s="63" t="s">
        <v>73</v>
      </c>
      <c r="E597" s="64"/>
      <c r="F597" s="64"/>
      <c r="G597" s="64"/>
      <c r="H597" s="61"/>
      <c r="I597" s="64"/>
      <c r="J597" s="64"/>
      <c r="K597" s="65" t="s">
        <v>74</v>
      </c>
      <c r="L597" s="64"/>
      <c r="M597" s="64"/>
      <c r="N597" s="64"/>
      <c r="O597" s="64"/>
      <c r="P597" s="64"/>
      <c r="Q597" s="138"/>
      <c r="R597" s="64"/>
      <c r="S597" s="64"/>
      <c r="T597" s="64"/>
      <c r="U597" s="64"/>
      <c r="V597" s="64"/>
      <c r="W597" s="66"/>
      <c r="X597" s="36" t="s">
        <v>60</v>
      </c>
    </row>
    <row r="598" spans="1:27" ht="12" x14ac:dyDescent="0.2">
      <c r="A598" s="67"/>
      <c r="B598" s="68" t="s">
        <v>11</v>
      </c>
      <c r="C598" s="68" t="s">
        <v>12</v>
      </c>
      <c r="D598" s="68" t="s">
        <v>13</v>
      </c>
      <c r="E598" s="68" t="s">
        <v>14</v>
      </c>
      <c r="F598" s="68" t="s">
        <v>15</v>
      </c>
      <c r="G598" s="69" t="s">
        <v>16</v>
      </c>
      <c r="H598" s="68" t="s">
        <v>17</v>
      </c>
      <c r="I598" s="70"/>
      <c r="J598" s="70"/>
      <c r="K598" s="70"/>
      <c r="L598" s="70"/>
      <c r="M598" s="68" t="s">
        <v>18</v>
      </c>
      <c r="N598" s="68" t="s">
        <v>19</v>
      </c>
      <c r="O598" s="68" t="s">
        <v>20</v>
      </c>
      <c r="P598" s="68" t="s">
        <v>21</v>
      </c>
      <c r="Q598" s="69" t="s">
        <v>16</v>
      </c>
      <c r="R598" s="203" t="s">
        <v>69</v>
      </c>
      <c r="S598" s="202" t="s">
        <v>126</v>
      </c>
      <c r="T598" s="202" t="s">
        <v>138</v>
      </c>
      <c r="U598" s="202" t="s">
        <v>134</v>
      </c>
      <c r="V598" s="202" t="s">
        <v>136</v>
      </c>
      <c r="W598" s="72" t="s">
        <v>7</v>
      </c>
      <c r="X598" s="73" t="s">
        <v>70</v>
      </c>
    </row>
    <row r="599" spans="1:27" ht="12.75" thickBot="1" x14ac:dyDescent="0.25">
      <c r="A599" s="75"/>
      <c r="B599" s="76" t="s">
        <v>23</v>
      </c>
      <c r="C599" s="76" t="s">
        <v>24</v>
      </c>
      <c r="D599" s="76" t="s">
        <v>25</v>
      </c>
      <c r="E599" s="76" t="s">
        <v>26</v>
      </c>
      <c r="F599" s="76" t="s">
        <v>27</v>
      </c>
      <c r="G599" s="77" t="s">
        <v>28</v>
      </c>
      <c r="H599" s="76" t="s">
        <v>29</v>
      </c>
      <c r="I599" s="76" t="s">
        <v>30</v>
      </c>
      <c r="J599" s="76" t="s">
        <v>31</v>
      </c>
      <c r="K599" s="76" t="s">
        <v>32</v>
      </c>
      <c r="L599" s="76" t="s">
        <v>33</v>
      </c>
      <c r="M599" s="76" t="s">
        <v>34</v>
      </c>
      <c r="N599" s="76" t="s">
        <v>35</v>
      </c>
      <c r="O599" s="76" t="s">
        <v>36</v>
      </c>
      <c r="P599" s="76" t="s">
        <v>37</v>
      </c>
      <c r="Q599" s="77" t="s">
        <v>28</v>
      </c>
      <c r="R599" s="204" t="s">
        <v>82</v>
      </c>
      <c r="S599" s="78" t="s">
        <v>130</v>
      </c>
      <c r="T599" s="78" t="s">
        <v>139</v>
      </c>
      <c r="U599" s="78" t="s">
        <v>135</v>
      </c>
      <c r="V599" s="78" t="s">
        <v>137</v>
      </c>
      <c r="W599" s="79" t="s">
        <v>10</v>
      </c>
      <c r="X599" s="80" t="s">
        <v>71</v>
      </c>
    </row>
    <row r="600" spans="1:27" x14ac:dyDescent="0.2">
      <c r="A600" s="18"/>
      <c r="B600" s="33"/>
      <c r="C600" s="33"/>
      <c r="D600" s="33"/>
      <c r="E600" s="33"/>
      <c r="F600" s="33"/>
      <c r="G600" s="34"/>
      <c r="H600" s="33"/>
      <c r="I600" s="33"/>
      <c r="J600" s="33"/>
      <c r="K600" s="33"/>
      <c r="L600" s="33"/>
      <c r="M600" s="33"/>
      <c r="N600" s="33"/>
      <c r="O600" s="33"/>
      <c r="P600" s="33"/>
      <c r="Q600" s="34"/>
      <c r="R600" s="205"/>
      <c r="S600" s="214"/>
      <c r="T600" s="214"/>
      <c r="U600" s="214"/>
      <c r="V600" s="35"/>
      <c r="W600" s="81"/>
      <c r="X600" s="36"/>
    </row>
    <row r="601" spans="1:27" ht="12.75" x14ac:dyDescent="0.2">
      <c r="A601" s="82" t="s">
        <v>41</v>
      </c>
      <c r="B601" s="38">
        <v>0</v>
      </c>
      <c r="C601" s="38">
        <v>0</v>
      </c>
      <c r="D601" s="38">
        <v>264530.7</v>
      </c>
      <c r="E601" s="38">
        <v>173640.15</v>
      </c>
      <c r="F601" s="38">
        <v>76987.44</v>
      </c>
      <c r="G601" s="39">
        <f>SUM(B601:F601)</f>
        <v>515158.29</v>
      </c>
      <c r="H601" s="38">
        <v>93598.87</v>
      </c>
      <c r="I601" s="38">
        <v>0</v>
      </c>
      <c r="J601" s="38">
        <v>53550.559999999998</v>
      </c>
      <c r="K601" s="38">
        <v>34430.86</v>
      </c>
      <c r="L601" s="38">
        <v>19867.689999999999</v>
      </c>
      <c r="M601" s="38">
        <v>13705.37</v>
      </c>
      <c r="N601" s="38">
        <v>9076.59</v>
      </c>
      <c r="O601" s="38">
        <v>120574.21</v>
      </c>
      <c r="P601" s="38">
        <v>0</v>
      </c>
      <c r="Q601" s="39">
        <f>SUM(H601:P601)</f>
        <v>344804.14999999997</v>
      </c>
      <c r="R601" s="39">
        <v>328764.71999999997</v>
      </c>
      <c r="S601" s="39">
        <v>0</v>
      </c>
      <c r="T601" s="39">
        <v>14288.27</v>
      </c>
      <c r="U601" s="39"/>
      <c r="V601" s="38"/>
      <c r="W601" s="83">
        <f>G601+Q601+R601+S601+T601+U601+V601</f>
        <v>1203015.43</v>
      </c>
      <c r="X601" s="41"/>
      <c r="AA601" s="1" t="s">
        <v>145</v>
      </c>
    </row>
    <row r="602" spans="1:27" ht="12.75" x14ac:dyDescent="0.2">
      <c r="A602" s="82" t="s">
        <v>42</v>
      </c>
      <c r="B602" s="141">
        <f t="shared" ref="B602:S602" si="167">B587+B601-B553</f>
        <v>146889.41000000003</v>
      </c>
      <c r="C602" s="141">
        <f t="shared" si="167"/>
        <v>1111857.8999999999</v>
      </c>
      <c r="D602" s="141">
        <f t="shared" si="167"/>
        <v>2918325.4800000004</v>
      </c>
      <c r="E602" s="141">
        <f t="shared" si="167"/>
        <v>2109962.0299999989</v>
      </c>
      <c r="F602" s="141">
        <f t="shared" si="167"/>
        <v>994802.72999999963</v>
      </c>
      <c r="G602" s="172">
        <f t="shared" si="167"/>
        <v>7281837.5500000026</v>
      </c>
      <c r="H602" s="141">
        <f t="shared" si="167"/>
        <v>1838016.0700000008</v>
      </c>
      <c r="I602" s="141">
        <f t="shared" si="167"/>
        <v>462866.75000000017</v>
      </c>
      <c r="J602" s="141">
        <f t="shared" si="167"/>
        <v>727100.86000000034</v>
      </c>
      <c r="K602" s="141">
        <f t="shared" si="167"/>
        <v>704565.16</v>
      </c>
      <c r="L602" s="141">
        <f t="shared" si="167"/>
        <v>1615984.3199999998</v>
      </c>
      <c r="M602" s="141">
        <f t="shared" si="167"/>
        <v>150251.90000000031</v>
      </c>
      <c r="N602" s="141">
        <f t="shared" si="167"/>
        <v>409816.41000000015</v>
      </c>
      <c r="O602" s="141">
        <f t="shared" si="167"/>
        <v>1406239.4099999995</v>
      </c>
      <c r="P602" s="141">
        <f t="shared" si="167"/>
        <v>468854.48000000021</v>
      </c>
      <c r="Q602" s="39">
        <f t="shared" si="167"/>
        <v>7783695.3599999957</v>
      </c>
      <c r="R602" s="172">
        <f t="shared" si="167"/>
        <v>2595692.5200000019</v>
      </c>
      <c r="S602" s="172">
        <f t="shared" si="167"/>
        <v>116564</v>
      </c>
      <c r="T602" s="172">
        <f>T587+T601-T553</f>
        <v>66533.89</v>
      </c>
      <c r="U602" s="172"/>
      <c r="V602" s="141"/>
      <c r="W602" s="83">
        <f>W587+W601-W553</f>
        <v>17675513.700000007</v>
      </c>
      <c r="X602" s="41">
        <f>X587+W601</f>
        <v>319067984.22999984</v>
      </c>
    </row>
    <row r="603" spans="1:27" ht="12.75" x14ac:dyDescent="0.2">
      <c r="A603" s="85"/>
      <c r="B603" s="38"/>
      <c r="C603" s="38"/>
      <c r="D603" s="38"/>
      <c r="E603" s="38"/>
      <c r="F603" s="38"/>
      <c r="G603" s="39"/>
      <c r="H603" s="38"/>
      <c r="I603" s="38"/>
      <c r="J603" s="38"/>
      <c r="K603" s="38"/>
      <c r="L603" s="38"/>
      <c r="M603" s="38"/>
      <c r="N603" s="38"/>
      <c r="O603" s="38"/>
      <c r="P603" s="38"/>
      <c r="Q603" s="39" t="s">
        <v>60</v>
      </c>
      <c r="R603" s="47"/>
      <c r="S603" s="47"/>
      <c r="T603" s="47"/>
      <c r="U603" s="47"/>
      <c r="V603" s="43"/>
      <c r="W603" s="83"/>
      <c r="X603" s="41"/>
    </row>
    <row r="604" spans="1:27" ht="12.75" x14ac:dyDescent="0.2">
      <c r="A604" s="82" t="s">
        <v>43</v>
      </c>
      <c r="B604" s="38">
        <v>0</v>
      </c>
      <c r="C604" s="38">
        <v>0</v>
      </c>
      <c r="D604" s="38">
        <v>209762.88</v>
      </c>
      <c r="E604" s="38">
        <v>166945.59</v>
      </c>
      <c r="F604" s="38">
        <v>123849.36</v>
      </c>
      <c r="G604" s="39">
        <f>SUM(B604:F604)</f>
        <v>500557.82999999996</v>
      </c>
      <c r="H604" s="38">
        <v>128454.66</v>
      </c>
      <c r="I604" s="38">
        <v>7763.69</v>
      </c>
      <c r="J604" s="38">
        <v>0</v>
      </c>
      <c r="K604" s="38">
        <v>0</v>
      </c>
      <c r="L604" s="38">
        <v>0</v>
      </c>
      <c r="M604" s="38">
        <v>13718.23</v>
      </c>
      <c r="N604" s="38">
        <v>0</v>
      </c>
      <c r="O604" s="38">
        <v>116388.41</v>
      </c>
      <c r="P604" s="38">
        <v>0</v>
      </c>
      <c r="Q604" s="39">
        <f>SUM(H604:P604)</f>
        <v>266324.99</v>
      </c>
      <c r="R604" s="39">
        <v>441595.92</v>
      </c>
      <c r="S604" s="39">
        <v>229192</v>
      </c>
      <c r="T604" s="39">
        <v>27292.93</v>
      </c>
      <c r="U604" s="39"/>
      <c r="V604" s="38"/>
      <c r="W604" s="83">
        <f>G604+Q604+R604+S604+T604+U604+V604</f>
        <v>1464963.67</v>
      </c>
      <c r="X604" s="41"/>
      <c r="AA604" s="1" t="s">
        <v>145</v>
      </c>
    </row>
    <row r="605" spans="1:27" ht="12.75" x14ac:dyDescent="0.2">
      <c r="A605" s="82" t="s">
        <v>42</v>
      </c>
      <c r="B605" s="141">
        <f t="shared" ref="B605:W605" si="168">B602+B604-B556</f>
        <v>131914.18000000002</v>
      </c>
      <c r="C605" s="141">
        <f t="shared" si="168"/>
        <v>993212.22</v>
      </c>
      <c r="D605" s="141">
        <f t="shared" si="168"/>
        <v>2928785.64</v>
      </c>
      <c r="E605" s="141">
        <f t="shared" si="168"/>
        <v>2189368.5799999987</v>
      </c>
      <c r="F605" s="141">
        <f t="shared" si="168"/>
        <v>1006062.5699999996</v>
      </c>
      <c r="G605" s="39">
        <f t="shared" si="168"/>
        <v>7249343.1900000032</v>
      </c>
      <c r="H605" s="141">
        <f t="shared" si="168"/>
        <v>1903887.6300000006</v>
      </c>
      <c r="I605" s="141">
        <f t="shared" si="168"/>
        <v>470630.44000000018</v>
      </c>
      <c r="J605" s="141">
        <f t="shared" si="168"/>
        <v>676103.75000000035</v>
      </c>
      <c r="K605" s="141">
        <f t="shared" si="168"/>
        <v>704565.16</v>
      </c>
      <c r="L605" s="141">
        <f t="shared" si="168"/>
        <v>1518768.3599999999</v>
      </c>
      <c r="M605" s="141">
        <f t="shared" si="168"/>
        <v>158652.85000000033</v>
      </c>
      <c r="N605" s="141">
        <f t="shared" si="168"/>
        <v>357936.14000000013</v>
      </c>
      <c r="O605" s="141">
        <f t="shared" si="168"/>
        <v>1475861.6099999994</v>
      </c>
      <c r="P605" s="141">
        <f t="shared" si="168"/>
        <v>468854.48000000021</v>
      </c>
      <c r="Q605" s="39">
        <f t="shared" si="168"/>
        <v>7735260.4199999962</v>
      </c>
      <c r="R605" s="39">
        <f t="shared" si="168"/>
        <v>2837385.9400000018</v>
      </c>
      <c r="S605" s="39">
        <f t="shared" si="168"/>
        <v>345756</v>
      </c>
      <c r="T605" s="39">
        <f t="shared" si="168"/>
        <v>93826.82</v>
      </c>
      <c r="U605" s="39"/>
      <c r="V605" s="38"/>
      <c r="W605" s="140">
        <f t="shared" si="168"/>
        <v>18092762.750000004</v>
      </c>
      <c r="X605" s="41">
        <f>W604+X602</f>
        <v>320532947.89999986</v>
      </c>
    </row>
    <row r="606" spans="1:27" ht="12.75" x14ac:dyDescent="0.2">
      <c r="A606" s="85"/>
      <c r="B606" s="44"/>
      <c r="C606" s="44"/>
      <c r="D606" s="44"/>
      <c r="E606" s="44"/>
      <c r="F606" s="44"/>
      <c r="G606" s="45"/>
      <c r="H606" s="44"/>
      <c r="I606" s="44"/>
      <c r="J606" s="44"/>
      <c r="K606" s="44"/>
      <c r="L606" s="44"/>
      <c r="M606" s="44"/>
      <c r="N606" s="44"/>
      <c r="O606" s="44"/>
      <c r="P606" s="44"/>
      <c r="Q606" s="45"/>
      <c r="R606" s="47"/>
      <c r="S606" s="47"/>
      <c r="T606" s="47"/>
      <c r="U606" s="47"/>
      <c r="V606" s="43"/>
      <c r="W606" s="86"/>
      <c r="X606" s="46"/>
    </row>
    <row r="607" spans="1:27" ht="12.75" x14ac:dyDescent="0.2">
      <c r="A607" s="82" t="s">
        <v>44</v>
      </c>
      <c r="B607" s="38">
        <v>0</v>
      </c>
      <c r="C607" s="38">
        <v>0</v>
      </c>
      <c r="D607" s="38">
        <v>245467.2</v>
      </c>
      <c r="E607" s="38">
        <v>283681.98</v>
      </c>
      <c r="F607" s="38">
        <v>150906.54</v>
      </c>
      <c r="G607" s="39">
        <f>SUM(B607:F607)</f>
        <v>680055.72</v>
      </c>
      <c r="H607" s="38">
        <v>140839.65</v>
      </c>
      <c r="I607" s="38">
        <v>0</v>
      </c>
      <c r="J607" s="38">
        <v>0</v>
      </c>
      <c r="K607" s="38">
        <v>0</v>
      </c>
      <c r="L607" s="38">
        <v>6068.45</v>
      </c>
      <c r="M607" s="38">
        <v>7608.68</v>
      </c>
      <c r="N607" s="38">
        <v>0</v>
      </c>
      <c r="O607" s="38">
        <v>118516.01</v>
      </c>
      <c r="P607" s="38">
        <v>0</v>
      </c>
      <c r="Q607" s="39">
        <f>SUM(H607:P607)</f>
        <v>273032.78999999998</v>
      </c>
      <c r="R607" s="39">
        <v>633079.12</v>
      </c>
      <c r="S607" s="39">
        <v>303928</v>
      </c>
      <c r="T607" s="39">
        <f>44238.33</f>
        <v>44238.33</v>
      </c>
      <c r="U607" s="39">
        <v>71704.62</v>
      </c>
      <c r="V607" s="38">
        <f>12508.57*0</f>
        <v>0</v>
      </c>
      <c r="W607" s="83">
        <f>G607+Q607+R607+S607+T607+U607+V607</f>
        <v>2006038.58</v>
      </c>
      <c r="X607" s="41"/>
      <c r="AA607" s="1" t="s">
        <v>145</v>
      </c>
    </row>
    <row r="608" spans="1:27" ht="12.75" x14ac:dyDescent="0.2">
      <c r="A608" s="82" t="s">
        <v>42</v>
      </c>
      <c r="B608" s="141">
        <f t="shared" ref="B608:T608" si="169">B605+B607-B559</f>
        <v>131914.18000000002</v>
      </c>
      <c r="C608" s="141">
        <f t="shared" si="169"/>
        <v>856398.05999999994</v>
      </c>
      <c r="D608" s="141">
        <f t="shared" si="169"/>
        <v>2957332.2</v>
      </c>
      <c r="E608" s="141">
        <f t="shared" si="169"/>
        <v>2473050.5599999987</v>
      </c>
      <c r="F608" s="141">
        <f t="shared" si="169"/>
        <v>1057317.7499999995</v>
      </c>
      <c r="G608" s="39">
        <f t="shared" si="169"/>
        <v>7476012.7500000028</v>
      </c>
      <c r="H608" s="141">
        <f t="shared" si="169"/>
        <v>1986070.2300000004</v>
      </c>
      <c r="I608" s="141">
        <f t="shared" si="169"/>
        <v>447241.56000000017</v>
      </c>
      <c r="J608" s="141">
        <f t="shared" si="169"/>
        <v>605586.78000000038</v>
      </c>
      <c r="K608" s="141">
        <f t="shared" si="169"/>
        <v>688778.83000000007</v>
      </c>
      <c r="L608" s="141">
        <f t="shared" si="169"/>
        <v>1414475.3499999999</v>
      </c>
      <c r="M608" s="141">
        <f t="shared" si="169"/>
        <v>158454.00000000032</v>
      </c>
      <c r="N608" s="141">
        <f t="shared" si="169"/>
        <v>315086.97000000015</v>
      </c>
      <c r="O608" s="141">
        <f t="shared" si="169"/>
        <v>1544675.3699999994</v>
      </c>
      <c r="P608" s="141">
        <f t="shared" si="169"/>
        <v>468854.48000000021</v>
      </c>
      <c r="Q608" s="39">
        <f t="shared" si="169"/>
        <v>7629223.5699999966</v>
      </c>
      <c r="R608" s="39">
        <f t="shared" si="169"/>
        <v>3320380.7900000019</v>
      </c>
      <c r="S608" s="39">
        <f t="shared" si="169"/>
        <v>649684</v>
      </c>
      <c r="T608" s="39">
        <f t="shared" si="169"/>
        <v>138065.15000000002</v>
      </c>
      <c r="U608" s="39">
        <f>U607+127894.61*0</f>
        <v>71704.62</v>
      </c>
      <c r="V608" s="38">
        <f>12508.57*0</f>
        <v>0</v>
      </c>
      <c r="W608" s="140">
        <f>W605+W607-W559</f>
        <v>19116261.260000005</v>
      </c>
      <c r="X608" s="41">
        <f>W607+X605</f>
        <v>322538986.47999984</v>
      </c>
    </row>
    <row r="609" spans="1:27" ht="12.75" x14ac:dyDescent="0.2">
      <c r="A609" s="85"/>
      <c r="B609" s="43"/>
      <c r="C609" s="43"/>
      <c r="D609" s="43"/>
      <c r="E609" s="43"/>
      <c r="F609" s="43"/>
      <c r="G609" s="47"/>
      <c r="H609" s="43"/>
      <c r="I609" s="43"/>
      <c r="J609" s="43"/>
      <c r="K609" s="43"/>
      <c r="L609" s="43"/>
      <c r="M609" s="43"/>
      <c r="N609" s="43"/>
      <c r="O609" s="43"/>
      <c r="P609" s="43"/>
      <c r="Q609" s="47"/>
      <c r="R609" s="47"/>
      <c r="S609" s="47"/>
      <c r="T609" s="47"/>
      <c r="U609" s="47"/>
      <c r="V609" s="43"/>
      <c r="W609" s="87"/>
      <c r="X609" s="46"/>
    </row>
    <row r="610" spans="1:27" ht="12.75" x14ac:dyDescent="0.2">
      <c r="A610" s="82" t="s">
        <v>45</v>
      </c>
      <c r="B610" s="38">
        <v>0</v>
      </c>
      <c r="C610" s="38">
        <v>0</v>
      </c>
      <c r="D610" s="38">
        <v>234867.48</v>
      </c>
      <c r="E610" s="38">
        <v>271966.5</v>
      </c>
      <c r="F610" s="38">
        <v>132217.56</v>
      </c>
      <c r="G610" s="39">
        <f>SUM(B610:F610)</f>
        <v>639051.54</v>
      </c>
      <c r="H610" s="38">
        <v>166319.29</v>
      </c>
      <c r="I610" s="38">
        <v>20903.59</v>
      </c>
      <c r="J610" s="38">
        <v>33232.04</v>
      </c>
      <c r="K610" s="38">
        <v>49534.79</v>
      </c>
      <c r="L610" s="38">
        <v>75088.97</v>
      </c>
      <c r="M610" s="38">
        <v>18385.18</v>
      </c>
      <c r="N610" s="38">
        <v>0</v>
      </c>
      <c r="O610" s="38">
        <v>59067.15</v>
      </c>
      <c r="P610" s="38">
        <v>0</v>
      </c>
      <c r="Q610" s="39">
        <f>SUM(H610:P610)</f>
        <v>422531.01000000007</v>
      </c>
      <c r="R610" s="39">
        <v>110343.42</v>
      </c>
      <c r="S610" s="39">
        <v>316968</v>
      </c>
      <c r="T610" s="39">
        <v>8072.3</v>
      </c>
      <c r="U610" s="39">
        <v>0</v>
      </c>
      <c r="V610" s="38">
        <v>0</v>
      </c>
      <c r="W610" s="83">
        <f>G610+Q610+R610+S610+T610+U610+V610</f>
        <v>1496966.27</v>
      </c>
      <c r="X610" s="41"/>
      <c r="AA610" s="1" t="s">
        <v>146</v>
      </c>
    </row>
    <row r="611" spans="1:27" ht="12.75" x14ac:dyDescent="0.2">
      <c r="A611" s="82" t="s">
        <v>42</v>
      </c>
      <c r="B611" s="141">
        <f t="shared" ref="B611:V611" si="170">B608+B610-B562</f>
        <v>121783.88000000002</v>
      </c>
      <c r="C611" s="141">
        <f t="shared" si="170"/>
        <v>730870.37999999989</v>
      </c>
      <c r="D611" s="141">
        <f t="shared" si="170"/>
        <v>2990694.72</v>
      </c>
      <c r="E611" s="141">
        <f t="shared" si="170"/>
        <v>2659542.6199999987</v>
      </c>
      <c r="F611" s="141">
        <f t="shared" si="170"/>
        <v>1174670.1899999995</v>
      </c>
      <c r="G611" s="39">
        <f t="shared" si="170"/>
        <v>7677561.7900000028</v>
      </c>
      <c r="H611" s="141">
        <f t="shared" si="170"/>
        <v>1988947.5800000005</v>
      </c>
      <c r="I611" s="141">
        <f t="shared" si="170"/>
        <v>363179.6500000002</v>
      </c>
      <c r="J611" s="141">
        <f t="shared" si="170"/>
        <v>575772.02000000037</v>
      </c>
      <c r="K611" s="141">
        <f t="shared" si="170"/>
        <v>679094.95000000007</v>
      </c>
      <c r="L611" s="141">
        <f t="shared" si="170"/>
        <v>1354658.5799999998</v>
      </c>
      <c r="M611" s="141">
        <f t="shared" si="170"/>
        <v>175393.66000000032</v>
      </c>
      <c r="N611" s="141">
        <f t="shared" si="170"/>
        <v>315086.97000000015</v>
      </c>
      <c r="O611" s="141">
        <f t="shared" si="170"/>
        <v>1545683.1199999994</v>
      </c>
      <c r="P611" s="141">
        <f t="shared" si="170"/>
        <v>468854.48000000021</v>
      </c>
      <c r="Q611" s="39">
        <f t="shared" si="170"/>
        <v>7466671.0099999961</v>
      </c>
      <c r="R611" s="39">
        <f t="shared" si="170"/>
        <v>3358999.640000002</v>
      </c>
      <c r="S611" s="39">
        <f t="shared" si="170"/>
        <v>966652</v>
      </c>
      <c r="T611" s="39">
        <f t="shared" si="170"/>
        <v>146137.45000000001</v>
      </c>
      <c r="U611" s="39">
        <f t="shared" si="170"/>
        <v>71704.62</v>
      </c>
      <c r="V611" s="39">
        <f t="shared" si="170"/>
        <v>0</v>
      </c>
      <c r="W611" s="140">
        <f>W608+W610-W562</f>
        <v>19518916.890000004</v>
      </c>
      <c r="X611" s="41">
        <f>W610+X608</f>
        <v>324035952.74999982</v>
      </c>
    </row>
    <row r="612" spans="1:27" ht="12.75" x14ac:dyDescent="0.2">
      <c r="A612" s="85"/>
      <c r="B612" s="44"/>
      <c r="C612" s="44"/>
      <c r="D612" s="44"/>
      <c r="E612" s="44"/>
      <c r="F612" s="44"/>
      <c r="G612" s="45"/>
      <c r="H612" s="44"/>
      <c r="I612" s="44"/>
      <c r="J612" s="44"/>
      <c r="K612" s="44"/>
      <c r="L612" s="44"/>
      <c r="M612" s="44"/>
      <c r="N612" s="44"/>
      <c r="O612" s="44"/>
      <c r="P612" s="44"/>
      <c r="Q612" s="45"/>
      <c r="R612" s="47"/>
      <c r="S612" s="47"/>
      <c r="T612" s="47"/>
      <c r="U612" s="47"/>
      <c r="V612" s="43"/>
      <c r="W612" s="86"/>
      <c r="X612" s="46"/>
    </row>
    <row r="613" spans="1:27" ht="12.75" x14ac:dyDescent="0.2">
      <c r="A613" s="82" t="s">
        <v>46</v>
      </c>
      <c r="B613" s="38">
        <v>2008.37</v>
      </c>
      <c r="C613" s="38">
        <v>5578.8</v>
      </c>
      <c r="D613" s="38">
        <v>270013.92</v>
      </c>
      <c r="E613" s="38">
        <v>293723.82</v>
      </c>
      <c r="F613" s="38">
        <v>145606.68</v>
      </c>
      <c r="G613" s="39">
        <f>SUM(B613:F613)</f>
        <v>716931.58999999985</v>
      </c>
      <c r="H613" s="38">
        <v>62830.7</v>
      </c>
      <c r="I613" s="38">
        <v>16890.900000000001</v>
      </c>
      <c r="J613" s="38">
        <v>6583.57</v>
      </c>
      <c r="K613" s="38">
        <v>208.1</v>
      </c>
      <c r="L613" s="38">
        <v>109561.89</v>
      </c>
      <c r="M613" s="38">
        <v>19866.96</v>
      </c>
      <c r="N613" s="38">
        <v>0</v>
      </c>
      <c r="O613" s="38">
        <v>133186.44</v>
      </c>
      <c r="P613" s="38">
        <v>0</v>
      </c>
      <c r="Q613" s="39">
        <f>SUM(H613:P613)</f>
        <v>349128.56000000006</v>
      </c>
      <c r="R613" s="39">
        <v>197515.9</v>
      </c>
      <c r="S613" s="39">
        <v>221971.04</v>
      </c>
      <c r="T613" s="39">
        <v>8617.74</v>
      </c>
      <c r="U613" s="39">
        <v>80233.179999999993</v>
      </c>
      <c r="V613" s="38">
        <v>41227.32</v>
      </c>
      <c r="W613" s="83">
        <f>G613+Q613+R613+S613+T613+U613+V613</f>
        <v>1615625.3299999998</v>
      </c>
      <c r="X613" s="41"/>
      <c r="Z613" s="220">
        <f>W613-1249535.73</f>
        <v>366089.59999999986</v>
      </c>
      <c r="AA613" s="1" t="s">
        <v>148</v>
      </c>
    </row>
    <row r="614" spans="1:27" ht="12.75" x14ac:dyDescent="0.2">
      <c r="A614" s="82" t="s">
        <v>42</v>
      </c>
      <c r="B614" s="141">
        <f t="shared" ref="B614:W614" si="171">B611+B613-B565</f>
        <v>104412.54000000001</v>
      </c>
      <c r="C614" s="141">
        <f t="shared" si="171"/>
        <v>626061.89999999991</v>
      </c>
      <c r="D614" s="141">
        <f t="shared" si="171"/>
        <v>3013507.2</v>
      </c>
      <c r="E614" s="141">
        <f t="shared" si="171"/>
        <v>2800486.0399999986</v>
      </c>
      <c r="F614" s="141">
        <f t="shared" si="171"/>
        <v>1214294.0699999994</v>
      </c>
      <c r="G614" s="39">
        <f t="shared" si="171"/>
        <v>7758761.7500000028</v>
      </c>
      <c r="H614" s="141">
        <f t="shared" si="171"/>
        <v>1882376.4300000004</v>
      </c>
      <c r="I614" s="141">
        <f t="shared" si="171"/>
        <v>339410.95000000024</v>
      </c>
      <c r="J614" s="141">
        <f t="shared" si="171"/>
        <v>544341.09000000032</v>
      </c>
      <c r="K614" s="141">
        <f t="shared" si="171"/>
        <v>633983.29</v>
      </c>
      <c r="L614" s="141">
        <f t="shared" si="171"/>
        <v>1323730.3399999999</v>
      </c>
      <c r="M614" s="141">
        <f t="shared" si="171"/>
        <v>191761.07000000033</v>
      </c>
      <c r="N614" s="141">
        <f t="shared" si="171"/>
        <v>315086.97000000015</v>
      </c>
      <c r="O614" s="141">
        <f t="shared" si="171"/>
        <v>1633210.0199999993</v>
      </c>
      <c r="P614" s="141">
        <f t="shared" si="171"/>
        <v>462471.68000000023</v>
      </c>
      <c r="Q614" s="39">
        <f t="shared" si="171"/>
        <v>7326371.8399999961</v>
      </c>
      <c r="R614" s="39">
        <f t="shared" si="171"/>
        <v>3403455.4000000018</v>
      </c>
      <c r="S614" s="39">
        <f t="shared" si="171"/>
        <v>1188623.04</v>
      </c>
      <c r="T614" s="39">
        <f t="shared" si="171"/>
        <v>154755.19</v>
      </c>
      <c r="U614" s="39">
        <f t="shared" si="171"/>
        <v>151937.79999999999</v>
      </c>
      <c r="V614" s="39">
        <f t="shared" si="171"/>
        <v>41227.32</v>
      </c>
      <c r="W614" s="140">
        <f t="shared" si="171"/>
        <v>19856322.720000003</v>
      </c>
      <c r="X614" s="41">
        <f>W613+X611</f>
        <v>325651578.0799998</v>
      </c>
    </row>
    <row r="615" spans="1:27" ht="12.75" x14ac:dyDescent="0.2">
      <c r="A615" s="85"/>
      <c r="B615" s="44"/>
      <c r="C615" s="44"/>
      <c r="D615" s="44"/>
      <c r="E615" s="44"/>
      <c r="F615" s="44"/>
      <c r="G615" s="45"/>
      <c r="H615" s="44"/>
      <c r="I615" s="44"/>
      <c r="J615" s="44"/>
      <c r="K615" s="44"/>
      <c r="L615" s="44"/>
      <c r="M615" s="44"/>
      <c r="N615" s="44"/>
      <c r="O615" s="44"/>
      <c r="P615" s="44"/>
      <c r="Q615" s="45"/>
      <c r="R615" s="47"/>
      <c r="S615" s="47"/>
      <c r="T615" s="47"/>
      <c r="U615" s="47"/>
      <c r="V615" s="43"/>
      <c r="W615" s="86"/>
      <c r="X615" s="46"/>
    </row>
    <row r="616" spans="1:27" ht="12.75" x14ac:dyDescent="0.2">
      <c r="A616" s="82" t="s">
        <v>47</v>
      </c>
      <c r="B616" s="38">
        <v>18075.310000000001</v>
      </c>
      <c r="C616" s="38">
        <v>17294.28</v>
      </c>
      <c r="D616" s="38">
        <v>274476.96000000002</v>
      </c>
      <c r="E616" s="38">
        <v>256066.92</v>
      </c>
      <c r="F616" s="38">
        <v>110460.24</v>
      </c>
      <c r="G616" s="39">
        <f>SUM(B616:F616)</f>
        <v>676373.71000000008</v>
      </c>
      <c r="H616" s="38">
        <v>331694.27</v>
      </c>
      <c r="I616" s="38">
        <v>206871.83</v>
      </c>
      <c r="J616" s="38">
        <v>9987.26</v>
      </c>
      <c r="K616" s="38">
        <v>5911.56</v>
      </c>
      <c r="L616" s="38">
        <v>263047.34000000003</v>
      </c>
      <c r="M616" s="38">
        <v>32812.61</v>
      </c>
      <c r="N616" s="38">
        <v>0</v>
      </c>
      <c r="O616" s="38">
        <v>166829.5</v>
      </c>
      <c r="P616" s="38">
        <v>5058.5</v>
      </c>
      <c r="Q616" s="39">
        <f>SUM(H616:P616)</f>
        <v>1022212.87</v>
      </c>
      <c r="R616" s="39">
        <v>256895.47</v>
      </c>
      <c r="S616" s="39">
        <v>168992.24</v>
      </c>
      <c r="T616" s="39">
        <v>14459.54</v>
      </c>
      <c r="U616" s="39">
        <v>58571.14</v>
      </c>
      <c r="V616" s="38">
        <f>41227.32*0+17012.83</f>
        <v>17012.830000000002</v>
      </c>
      <c r="W616" s="83">
        <f>G616+Q616+R616+S616+T616+U616+V616</f>
        <v>2214517.8000000003</v>
      </c>
      <c r="X616" s="41"/>
      <c r="Z616" s="220">
        <f>W616-2214517.8</f>
        <v>0</v>
      </c>
      <c r="AA616" s="1" t="s">
        <v>146</v>
      </c>
    </row>
    <row r="617" spans="1:27" ht="12.75" x14ac:dyDescent="0.2">
      <c r="A617" s="82" t="s">
        <v>42</v>
      </c>
      <c r="B617" s="141">
        <f t="shared" ref="B617:W617" si="172">B614+B616-B568</f>
        <v>101126.12000000001</v>
      </c>
      <c r="C617" s="141">
        <f t="shared" si="172"/>
        <v>524159.93999999994</v>
      </c>
      <c r="D617" s="141">
        <f t="shared" si="172"/>
        <v>3038580.48</v>
      </c>
      <c r="E617" s="141">
        <f t="shared" si="172"/>
        <v>2834814.9199999985</v>
      </c>
      <c r="F617" s="141">
        <f t="shared" si="172"/>
        <v>1225653.5099999993</v>
      </c>
      <c r="G617" s="39">
        <f t="shared" si="172"/>
        <v>7724334.9700000025</v>
      </c>
      <c r="H617" s="141">
        <f t="shared" si="172"/>
        <v>1938942.56</v>
      </c>
      <c r="I617" s="141">
        <f t="shared" si="172"/>
        <v>482658.90000000026</v>
      </c>
      <c r="J617" s="141">
        <f t="shared" si="172"/>
        <v>507412.28000000032</v>
      </c>
      <c r="K617" s="141">
        <f t="shared" si="172"/>
        <v>539548.66000000015</v>
      </c>
      <c r="L617" s="141">
        <f t="shared" si="172"/>
        <v>1407663.63</v>
      </c>
      <c r="M617" s="141">
        <f t="shared" si="172"/>
        <v>210878.60000000036</v>
      </c>
      <c r="N617" s="141">
        <f t="shared" si="172"/>
        <v>285615.66000000015</v>
      </c>
      <c r="O617" s="141">
        <f t="shared" si="172"/>
        <v>1664706.9399999992</v>
      </c>
      <c r="P617" s="141">
        <f t="shared" si="172"/>
        <v>357112.91000000021</v>
      </c>
      <c r="Q617" s="39">
        <f t="shared" si="172"/>
        <v>7394540.1399999959</v>
      </c>
      <c r="R617" s="39">
        <f t="shared" si="172"/>
        <v>3567517.5300000021</v>
      </c>
      <c r="S617" s="39">
        <f t="shared" si="172"/>
        <v>1357615.28</v>
      </c>
      <c r="T617" s="39">
        <f t="shared" si="172"/>
        <v>169214.73</v>
      </c>
      <c r="U617" s="39">
        <f t="shared" si="172"/>
        <v>210508.94</v>
      </c>
      <c r="V617" s="39">
        <f t="shared" si="172"/>
        <v>58240.15</v>
      </c>
      <c r="W617" s="140">
        <f t="shared" si="172"/>
        <v>20313162.120000005</v>
      </c>
      <c r="X617" s="41">
        <f>W616+X614</f>
        <v>327866095.87999982</v>
      </c>
      <c r="Z617" s="220" t="s">
        <v>60</v>
      </c>
    </row>
    <row r="618" spans="1:27" ht="12.75" x14ac:dyDescent="0.2">
      <c r="A618" s="85"/>
      <c r="B618" s="43"/>
      <c r="C618" s="43"/>
      <c r="D618" s="43"/>
      <c r="E618" s="43"/>
      <c r="F618" s="43"/>
      <c r="G618" s="47"/>
      <c r="H618" s="43"/>
      <c r="I618" s="43"/>
      <c r="J618" s="43"/>
      <c r="K618" s="43"/>
      <c r="L618" s="43"/>
      <c r="M618" s="43"/>
      <c r="N618" s="43"/>
      <c r="O618" s="43"/>
      <c r="P618" s="43"/>
      <c r="Q618" s="47"/>
      <c r="R618" s="47"/>
      <c r="S618" s="47"/>
      <c r="T618" s="47"/>
      <c r="U618" s="47"/>
      <c r="V618" s="43"/>
      <c r="W618" s="87"/>
      <c r="X618" s="46"/>
    </row>
    <row r="619" spans="1:27" ht="12.75" x14ac:dyDescent="0.2">
      <c r="A619" s="82" t="s">
        <v>48</v>
      </c>
      <c r="B619" s="38">
        <v>18075.310000000001</v>
      </c>
      <c r="C619" s="38">
        <v>148953.96</v>
      </c>
      <c r="D619" s="38">
        <v>241004.16</v>
      </c>
      <c r="E619" s="38">
        <v>268619.21999999997</v>
      </c>
      <c r="F619" s="38">
        <v>142817.28</v>
      </c>
      <c r="G619" s="39">
        <f>SUM(B619:F619)</f>
        <v>819469.92999999993</v>
      </c>
      <c r="H619" s="38">
        <v>359172.38</v>
      </c>
      <c r="I619" s="38">
        <v>229345.37</v>
      </c>
      <c r="J619" s="38">
        <v>106794.27</v>
      </c>
      <c r="K619" s="38">
        <v>98740.44</v>
      </c>
      <c r="L619" s="38">
        <v>209978.8</v>
      </c>
      <c r="M619" s="38">
        <v>32058.37</v>
      </c>
      <c r="N619" s="38">
        <v>0</v>
      </c>
      <c r="O619" s="38">
        <v>213339.48</v>
      </c>
      <c r="P619" s="38">
        <v>93826.43</v>
      </c>
      <c r="Q619" s="39">
        <f>SUM(H619:P619)</f>
        <v>1343255.54</v>
      </c>
      <c r="R619" s="39">
        <v>526006.31000000006</v>
      </c>
      <c r="S619" s="39">
        <v>237826.96</v>
      </c>
      <c r="T619" s="39">
        <v>23155.61</v>
      </c>
      <c r="U619" s="39">
        <v>43091.79</v>
      </c>
      <c r="V619" s="38">
        <v>-8441.9</v>
      </c>
      <c r="W619" s="83">
        <f>G619+Q619+R619+S619+T619+U619+V619</f>
        <v>2984364.2399999998</v>
      </c>
      <c r="X619" s="41"/>
      <c r="Y619" s="1" t="s">
        <v>151</v>
      </c>
      <c r="Z619" s="220">
        <f>W619-2984364.24</f>
        <v>0</v>
      </c>
      <c r="AA619" s="1" t="s">
        <v>146</v>
      </c>
    </row>
    <row r="620" spans="1:27" ht="12.75" x14ac:dyDescent="0.2">
      <c r="A620" s="82" t="s">
        <v>42</v>
      </c>
      <c r="B620" s="141">
        <f t="shared" ref="B620:W620" si="173">B617+B619-B571</f>
        <v>99381.27</v>
      </c>
      <c r="C620" s="141">
        <f t="shared" si="173"/>
        <v>564378.29999999993</v>
      </c>
      <c r="D620" s="141">
        <f t="shared" si="173"/>
        <v>3023574.24</v>
      </c>
      <c r="E620" s="141">
        <f t="shared" si="173"/>
        <v>2870960.1799999988</v>
      </c>
      <c r="F620" s="141">
        <f t="shared" si="173"/>
        <v>1289190.1499999994</v>
      </c>
      <c r="G620" s="39">
        <f t="shared" si="173"/>
        <v>7847484.1400000025</v>
      </c>
      <c r="H620" s="141">
        <f t="shared" si="173"/>
        <v>2001311.19</v>
      </c>
      <c r="I620" s="141">
        <f t="shared" si="173"/>
        <v>581415.25000000023</v>
      </c>
      <c r="J620" s="141">
        <f t="shared" si="173"/>
        <v>546183.3200000003</v>
      </c>
      <c r="K620" s="141">
        <f t="shared" si="173"/>
        <v>555792.18000000005</v>
      </c>
      <c r="L620" s="141">
        <f t="shared" si="173"/>
        <v>1430825.7999999998</v>
      </c>
      <c r="M620" s="141">
        <f t="shared" si="173"/>
        <v>204970.47000000035</v>
      </c>
      <c r="N620" s="141">
        <f t="shared" si="173"/>
        <v>229031.12000000014</v>
      </c>
      <c r="O620" s="141">
        <f t="shared" si="173"/>
        <v>1664671.1899999992</v>
      </c>
      <c r="P620" s="141">
        <f t="shared" si="173"/>
        <v>319667.06000000017</v>
      </c>
      <c r="Q620" s="39">
        <f t="shared" si="173"/>
        <v>7533867.5799999963</v>
      </c>
      <c r="R620" s="39">
        <f t="shared" si="173"/>
        <v>3803199.3200000022</v>
      </c>
      <c r="S620" s="39">
        <f t="shared" si="173"/>
        <v>1595442.24</v>
      </c>
      <c r="T620" s="39">
        <f t="shared" si="173"/>
        <v>181629.77000000002</v>
      </c>
      <c r="U620" s="39">
        <f>U617+U619-U571</f>
        <v>253600.73</v>
      </c>
      <c r="V620" s="39">
        <f>V617+V619-V571</f>
        <v>49798.25</v>
      </c>
      <c r="W620" s="140">
        <f t="shared" si="173"/>
        <v>21106952.980000004</v>
      </c>
      <c r="X620" s="41">
        <f>W619+X617</f>
        <v>330850460.11999983</v>
      </c>
    </row>
    <row r="621" spans="1:27" ht="12.75" x14ac:dyDescent="0.2">
      <c r="A621" s="85"/>
      <c r="B621" s="44"/>
      <c r="C621" s="44"/>
      <c r="D621" s="44"/>
      <c r="E621" s="44"/>
      <c r="F621" s="44"/>
      <c r="G621" s="45"/>
      <c r="H621" s="44"/>
      <c r="I621" s="44"/>
      <c r="J621" s="44"/>
      <c r="K621" s="44"/>
      <c r="L621" s="44"/>
      <c r="M621" s="44"/>
      <c r="N621" s="44"/>
      <c r="O621" s="44"/>
      <c r="P621" s="44"/>
      <c r="Q621" s="45"/>
      <c r="R621" s="47"/>
      <c r="S621" s="47"/>
      <c r="T621" s="47"/>
      <c r="U621" s="47"/>
      <c r="V621" s="43"/>
      <c r="W621" s="86"/>
      <c r="X621" s="46"/>
      <c r="Z621" s="220"/>
    </row>
    <row r="622" spans="1:27" ht="12.75" x14ac:dyDescent="0.2">
      <c r="A622" s="82" t="s">
        <v>49</v>
      </c>
      <c r="B622" s="38">
        <v>23430.959999999999</v>
      </c>
      <c r="C622" s="38">
        <v>143654.1</v>
      </c>
      <c r="D622" s="38">
        <v>252719.64</v>
      </c>
      <c r="E622" s="38">
        <v>276987.42</v>
      </c>
      <c r="F622" s="38">
        <v>146443.5</v>
      </c>
      <c r="G622" s="39">
        <f>SUM(B622:F622)</f>
        <v>843235.62</v>
      </c>
      <c r="H622" s="38">
        <v>380977.93</v>
      </c>
      <c r="I622" s="38">
        <v>208761.31</v>
      </c>
      <c r="J622" s="38">
        <v>103516.7</v>
      </c>
      <c r="K622" s="38">
        <v>95264.07</v>
      </c>
      <c r="L622" s="38">
        <v>188042.09</v>
      </c>
      <c r="M622" s="38">
        <v>27692.7</v>
      </c>
      <c r="N622" s="38">
        <v>0</v>
      </c>
      <c r="O622" s="38">
        <v>72341.990000000005</v>
      </c>
      <c r="P622" s="38">
        <v>12901.16</v>
      </c>
      <c r="Q622" s="39">
        <f>SUM(H622:P622)</f>
        <v>1089497.95</v>
      </c>
      <c r="R622" s="39">
        <v>444391.31</v>
      </c>
      <c r="S622" s="39">
        <v>3850.56</v>
      </c>
      <c r="T622" s="39">
        <v>13182.94</v>
      </c>
      <c r="U622" s="39">
        <v>48958.93</v>
      </c>
      <c r="V622" s="38">
        <v>-756.96</v>
      </c>
      <c r="W622" s="83">
        <f>G622+Q622+R622+S622+T622+U622+V622</f>
        <v>2442360.35</v>
      </c>
      <c r="X622" s="41"/>
      <c r="AA622" s="1" t="s">
        <v>146</v>
      </c>
    </row>
    <row r="623" spans="1:27" ht="12.75" x14ac:dyDescent="0.2">
      <c r="A623" s="82" t="s">
        <v>42</v>
      </c>
      <c r="B623" s="141">
        <f t="shared" ref="B623:W623" si="174">B620+B622-B574</f>
        <v>103212.29000000001</v>
      </c>
      <c r="C623" s="141">
        <f t="shared" si="174"/>
        <v>608381.03999999992</v>
      </c>
      <c r="D623" s="141">
        <f t="shared" si="174"/>
        <v>2987800.4400000004</v>
      </c>
      <c r="E623" s="141">
        <f t="shared" si="174"/>
        <v>2886569.2399999988</v>
      </c>
      <c r="F623" s="141">
        <f t="shared" si="174"/>
        <v>1350296.8499999994</v>
      </c>
      <c r="G623" s="39">
        <f t="shared" si="174"/>
        <v>7936259.8600000013</v>
      </c>
      <c r="H623" s="141">
        <f t="shared" si="174"/>
        <v>2154374.33</v>
      </c>
      <c r="I623" s="141">
        <f t="shared" si="174"/>
        <v>790176.56000000029</v>
      </c>
      <c r="J623" s="141">
        <f t="shared" si="174"/>
        <v>576206.02000000025</v>
      </c>
      <c r="K623" s="141">
        <f t="shared" si="174"/>
        <v>563398.75</v>
      </c>
      <c r="L623" s="141">
        <f t="shared" si="174"/>
        <v>1418725.94</v>
      </c>
      <c r="M623" s="141">
        <f t="shared" si="174"/>
        <v>199338.61000000036</v>
      </c>
      <c r="N623" s="141">
        <f t="shared" si="174"/>
        <v>168460.58000000013</v>
      </c>
      <c r="O623" s="141">
        <f t="shared" si="174"/>
        <v>1522025.1899999992</v>
      </c>
      <c r="P623" s="141">
        <f t="shared" si="174"/>
        <v>213382.46000000014</v>
      </c>
      <c r="Q623" s="39">
        <f t="shared" si="174"/>
        <v>7606088.4399999958</v>
      </c>
      <c r="R623" s="39">
        <f t="shared" si="174"/>
        <v>3987859.5400000019</v>
      </c>
      <c r="S623" s="39">
        <f t="shared" si="174"/>
        <v>1575068.8</v>
      </c>
      <c r="T623" s="39">
        <f t="shared" si="174"/>
        <v>188401.41000000003</v>
      </c>
      <c r="U623" s="39">
        <f>U620+U622-U574</f>
        <v>302559.66000000003</v>
      </c>
      <c r="V623" s="39">
        <f>V620+V622-V574</f>
        <v>49041.29</v>
      </c>
      <c r="W623" s="140">
        <f t="shared" si="174"/>
        <v>21517845.250000004</v>
      </c>
      <c r="X623" s="41">
        <f>W622+X620</f>
        <v>333292820.46999985</v>
      </c>
    </row>
    <row r="624" spans="1:27" ht="12.75" x14ac:dyDescent="0.2">
      <c r="A624" s="85"/>
      <c r="B624" s="43"/>
      <c r="C624" s="43"/>
      <c r="D624" s="43"/>
      <c r="E624" s="43"/>
      <c r="F624" s="43"/>
      <c r="G624" s="47"/>
      <c r="H624" s="43"/>
      <c r="I624" s="43"/>
      <c r="J624" s="43"/>
      <c r="K624" s="43"/>
      <c r="L624" s="43"/>
      <c r="M624" s="43"/>
      <c r="N624" s="43"/>
      <c r="O624" s="43"/>
      <c r="P624" s="43"/>
      <c r="Q624" s="47"/>
      <c r="R624" s="47"/>
      <c r="S624" s="47"/>
      <c r="T624" s="47"/>
      <c r="U624" s="47"/>
      <c r="V624" s="43"/>
      <c r="W624" s="87"/>
      <c r="X624" s="46"/>
    </row>
    <row r="625" spans="1:28" ht="12.75" x14ac:dyDescent="0.2">
      <c r="A625" s="82" t="s">
        <v>50</v>
      </c>
      <c r="B625" s="38">
        <v>19637.38</v>
      </c>
      <c r="C625" s="38">
        <v>88702.92</v>
      </c>
      <c r="D625" s="38">
        <v>266666.64</v>
      </c>
      <c r="E625" s="38">
        <v>249372.36</v>
      </c>
      <c r="F625" s="38">
        <v>114644.34</v>
      </c>
      <c r="G625" s="39">
        <f>SUM(B625:F625)</f>
        <v>739023.64</v>
      </c>
      <c r="H625" s="38">
        <v>381949.36</v>
      </c>
      <c r="I625" s="38">
        <v>236580.92</v>
      </c>
      <c r="J625" s="38">
        <v>95851.82</v>
      </c>
      <c r="K625" s="38">
        <v>102220.73</v>
      </c>
      <c r="L625" s="38">
        <v>203666.62</v>
      </c>
      <c r="M625" s="38">
        <v>11347.11</v>
      </c>
      <c r="N625" s="38">
        <v>0</v>
      </c>
      <c r="O625" s="38">
        <v>28665.09</v>
      </c>
      <c r="P625" s="38">
        <v>0</v>
      </c>
      <c r="Q625" s="39">
        <f>SUM(H625:P625)</f>
        <v>1060281.6500000001</v>
      </c>
      <c r="R625" s="39">
        <v>406761.93</v>
      </c>
      <c r="S625" s="39">
        <v>0</v>
      </c>
      <c r="T625" s="39">
        <v>11988.75</v>
      </c>
      <c r="U625" s="39">
        <v>730.61</v>
      </c>
      <c r="V625" s="39">
        <v>0</v>
      </c>
      <c r="W625" s="83">
        <f>G625+Q625+R625+S625+T625+U625+V625</f>
        <v>2218786.58</v>
      </c>
      <c r="X625" s="41"/>
      <c r="AA625" s="1" t="s">
        <v>146</v>
      </c>
    </row>
    <row r="626" spans="1:28" ht="12.75" x14ac:dyDescent="0.2">
      <c r="A626" s="82" t="s">
        <v>42</v>
      </c>
      <c r="B626" s="141">
        <f t="shared" ref="B626:W626" si="175">B623+B625-B577</f>
        <v>102148.61000000002</v>
      </c>
      <c r="C626" s="141">
        <f t="shared" si="175"/>
        <v>580365.24</v>
      </c>
      <c r="D626" s="141">
        <f t="shared" si="175"/>
        <v>2974782.6000000006</v>
      </c>
      <c r="E626" s="141">
        <f t="shared" si="175"/>
        <v>2850200.9599999986</v>
      </c>
      <c r="F626" s="141">
        <f t="shared" si="175"/>
        <v>1403829.0299999996</v>
      </c>
      <c r="G626" s="39">
        <f t="shared" si="175"/>
        <v>7911326.4400000013</v>
      </c>
      <c r="H626" s="141">
        <f t="shared" si="175"/>
        <v>2363074.31</v>
      </c>
      <c r="I626" s="141">
        <f t="shared" si="175"/>
        <v>1026757.4800000003</v>
      </c>
      <c r="J626" s="141">
        <f t="shared" si="175"/>
        <v>569549.36000000034</v>
      </c>
      <c r="K626" s="141">
        <f t="shared" si="175"/>
        <v>563517.03</v>
      </c>
      <c r="L626" s="141">
        <f t="shared" si="175"/>
        <v>1426171.81</v>
      </c>
      <c r="M626" s="141">
        <f t="shared" si="175"/>
        <v>178439.69000000038</v>
      </c>
      <c r="N626" s="141">
        <f t="shared" si="175"/>
        <v>107896.85000000012</v>
      </c>
      <c r="O626" s="141">
        <f t="shared" si="175"/>
        <v>1350326.3499999994</v>
      </c>
      <c r="P626" s="141">
        <f t="shared" si="175"/>
        <v>171019.38000000012</v>
      </c>
      <c r="Q626" s="39">
        <f t="shared" si="175"/>
        <v>7756752.2599999961</v>
      </c>
      <c r="R626" s="39">
        <f t="shared" si="175"/>
        <v>4102384.6200000015</v>
      </c>
      <c r="S626" s="39">
        <f t="shared" si="175"/>
        <v>1558728.8</v>
      </c>
      <c r="T626" s="39">
        <f t="shared" si="175"/>
        <v>189914.86000000004</v>
      </c>
      <c r="U626" s="39">
        <f t="shared" si="175"/>
        <v>303290.27</v>
      </c>
      <c r="V626" s="39">
        <f t="shared" si="175"/>
        <v>49041.29</v>
      </c>
      <c r="W626" s="140">
        <f t="shared" si="175"/>
        <v>21770820.090000004</v>
      </c>
      <c r="X626" s="41">
        <f>W625+X623</f>
        <v>335511607.04999983</v>
      </c>
    </row>
    <row r="627" spans="1:28" ht="12.75" x14ac:dyDescent="0.2">
      <c r="A627" s="85"/>
      <c r="B627" s="43"/>
      <c r="C627" s="43"/>
      <c r="D627" s="43"/>
      <c r="E627" s="43"/>
      <c r="F627" s="43"/>
      <c r="G627" s="47"/>
      <c r="H627" s="43"/>
      <c r="I627" s="43"/>
      <c r="J627" s="43"/>
      <c r="K627" s="43"/>
      <c r="L627" s="43"/>
      <c r="M627" s="43"/>
      <c r="N627" s="43"/>
      <c r="O627" s="43"/>
      <c r="P627" s="43"/>
      <c r="Q627" s="47"/>
      <c r="R627" s="47"/>
      <c r="S627" s="47"/>
      <c r="T627" s="47"/>
      <c r="U627" s="47"/>
      <c r="V627" s="43"/>
      <c r="W627" s="87"/>
      <c r="X627" s="46"/>
    </row>
    <row r="628" spans="1:28" ht="12.75" x14ac:dyDescent="0.2">
      <c r="A628" s="82" t="s">
        <v>51</v>
      </c>
      <c r="B628" s="38">
        <v>13165.97</v>
      </c>
      <c r="C628" s="38">
        <v>22315.200000000001</v>
      </c>
      <c r="D628" s="38">
        <v>237099</v>
      </c>
      <c r="E628" s="38">
        <v>218410.02</v>
      </c>
      <c r="F628" s="38">
        <v>118828.44</v>
      </c>
      <c r="G628" s="39">
        <f>SUM(B628:F628)</f>
        <v>609818.62999999989</v>
      </c>
      <c r="H628" s="38">
        <v>196323.79</v>
      </c>
      <c r="I628" s="38">
        <v>132225.85999999999</v>
      </c>
      <c r="J628" s="38">
        <v>18542.18</v>
      </c>
      <c r="K628" s="38">
        <v>8569.27</v>
      </c>
      <c r="L628" s="38">
        <v>102793.04</v>
      </c>
      <c r="M628" s="38">
        <v>0</v>
      </c>
      <c r="N628" s="38">
        <v>0</v>
      </c>
      <c r="O628" s="38">
        <v>36408.239999999998</v>
      </c>
      <c r="P628" s="38">
        <v>0</v>
      </c>
      <c r="Q628" s="39">
        <f>SUM(H628:P628)</f>
        <v>494862.38</v>
      </c>
      <c r="R628" s="39">
        <v>376647.52</v>
      </c>
      <c r="S628" s="39">
        <v>21033.599999999999</v>
      </c>
      <c r="T628" s="39">
        <v>6517.49</v>
      </c>
      <c r="U628" s="39">
        <v>0</v>
      </c>
      <c r="V628" s="38">
        <f>-8228.47+1214.71</f>
        <v>-7013.7599999999993</v>
      </c>
      <c r="W628" s="83">
        <f>G628+Q628+R628+S628+T628+U628+V628</f>
        <v>1501865.8599999999</v>
      </c>
      <c r="X628" s="41"/>
      <c r="AA628" s="1" t="s">
        <v>146</v>
      </c>
    </row>
    <row r="629" spans="1:28" ht="12.75" x14ac:dyDescent="0.2">
      <c r="A629" s="82" t="s">
        <v>42</v>
      </c>
      <c r="B629" s="141">
        <f t="shared" ref="B629:W629" si="176">B626+B628-B580</f>
        <v>96375.320000000022</v>
      </c>
      <c r="C629" s="141">
        <f t="shared" si="176"/>
        <v>499175.15999999992</v>
      </c>
      <c r="D629" s="141">
        <f t="shared" si="176"/>
        <v>2972938.5600000005</v>
      </c>
      <c r="E629" s="141">
        <f t="shared" si="176"/>
        <v>2875777.3399999985</v>
      </c>
      <c r="F629" s="141">
        <f t="shared" si="176"/>
        <v>1434843.1499999994</v>
      </c>
      <c r="G629" s="39">
        <f t="shared" si="176"/>
        <v>7879109.5300000003</v>
      </c>
      <c r="H629" s="141">
        <f t="shared" si="176"/>
        <v>2383727.66</v>
      </c>
      <c r="I629" s="141">
        <f t="shared" si="176"/>
        <v>1059343.4700000002</v>
      </c>
      <c r="J629" s="141">
        <f t="shared" si="176"/>
        <v>530026.27000000037</v>
      </c>
      <c r="K629" s="141">
        <f t="shared" si="176"/>
        <v>509185.08000000007</v>
      </c>
      <c r="L629" s="141">
        <f t="shared" si="176"/>
        <v>1394977.59</v>
      </c>
      <c r="M629" s="141">
        <f t="shared" si="176"/>
        <v>178439.69000000038</v>
      </c>
      <c r="N629" s="141">
        <f t="shared" si="176"/>
        <v>69657.66000000012</v>
      </c>
      <c r="O629" s="141">
        <f t="shared" si="176"/>
        <v>1304173.5399999993</v>
      </c>
      <c r="P629" s="141">
        <f t="shared" si="176"/>
        <v>144035.77000000014</v>
      </c>
      <c r="Q629" s="39">
        <f t="shared" si="176"/>
        <v>7573566.7299999958</v>
      </c>
      <c r="R629" s="39">
        <f t="shared" si="176"/>
        <v>4233400.0500000017</v>
      </c>
      <c r="S629" s="39">
        <f t="shared" si="176"/>
        <v>1503762.4000000001</v>
      </c>
      <c r="T629" s="39">
        <f t="shared" si="176"/>
        <v>188198.52000000005</v>
      </c>
      <c r="U629" s="39">
        <f>U626+U628-U580</f>
        <v>303290.27</v>
      </c>
      <c r="V629" s="39">
        <f>V626+V628-V580</f>
        <v>42027.53</v>
      </c>
      <c r="W629" s="140">
        <f t="shared" si="176"/>
        <v>21706970.410000004</v>
      </c>
      <c r="X629" s="41">
        <f>W628+X626</f>
        <v>337013472.90999985</v>
      </c>
    </row>
    <row r="630" spans="1:28" ht="12.75" x14ac:dyDescent="0.2">
      <c r="A630" s="85"/>
      <c r="B630" s="44"/>
      <c r="C630" s="44"/>
      <c r="D630" s="44"/>
      <c r="E630" s="44"/>
      <c r="F630" s="44"/>
      <c r="G630" s="45"/>
      <c r="H630" s="44"/>
      <c r="I630" s="44"/>
      <c r="J630" s="44"/>
      <c r="K630" s="44"/>
      <c r="L630" s="44"/>
      <c r="M630" s="44"/>
      <c r="N630" s="44"/>
      <c r="O630" s="44"/>
      <c r="P630" s="44"/>
      <c r="Q630" s="45"/>
      <c r="R630" s="47"/>
      <c r="S630" s="47"/>
      <c r="T630" s="47"/>
      <c r="U630" s="47"/>
      <c r="V630" s="43"/>
      <c r="W630" s="86"/>
      <c r="X630" s="46"/>
    </row>
    <row r="631" spans="1:28" ht="12.75" x14ac:dyDescent="0.2">
      <c r="A631" s="82" t="s">
        <v>52</v>
      </c>
      <c r="B631" s="38">
        <v>22092.05</v>
      </c>
      <c r="C631" s="38">
        <v>23988.84</v>
      </c>
      <c r="D631" s="38">
        <v>237099</v>
      </c>
      <c r="E631" s="38">
        <v>228033.45</v>
      </c>
      <c r="F631" s="38">
        <v>114644.34</v>
      </c>
      <c r="G631" s="39">
        <f>SUM(B631:F631)</f>
        <v>625857.68000000005</v>
      </c>
      <c r="H631" s="38">
        <v>176638.45</v>
      </c>
      <c r="I631" s="38">
        <v>139160.82999999999</v>
      </c>
      <c r="J631" s="38">
        <v>20982.83</v>
      </c>
      <c r="K631" s="38">
        <v>18736.87</v>
      </c>
      <c r="L631" s="38">
        <v>34653</v>
      </c>
      <c r="M631" s="38">
        <v>0</v>
      </c>
      <c r="N631" s="38">
        <v>0</v>
      </c>
      <c r="O631" s="38">
        <v>19214.830000000002</v>
      </c>
      <c r="P631" s="38">
        <v>12356.14</v>
      </c>
      <c r="Q631" s="39">
        <f>SUM(H631:P631)</f>
        <v>421742.95000000007</v>
      </c>
      <c r="R631" s="39">
        <v>346052.25</v>
      </c>
      <c r="S631" s="39">
        <v>45102.64</v>
      </c>
      <c r="T631" s="39">
        <v>2757.65</v>
      </c>
      <c r="U631" s="39">
        <v>8607.66</v>
      </c>
      <c r="V631" s="38">
        <v>-291.72000000000003</v>
      </c>
      <c r="W631" s="83">
        <f>G631+Q631+R631+S631+T631+U631+V631</f>
        <v>1449829.1099999999</v>
      </c>
      <c r="X631" s="41"/>
      <c r="Z631" s="220"/>
      <c r="AA631" s="1" t="s">
        <v>146</v>
      </c>
    </row>
    <row r="632" spans="1:28" ht="12.75" x14ac:dyDescent="0.2">
      <c r="A632" s="82" t="s">
        <v>42</v>
      </c>
      <c r="B632" s="141">
        <f t="shared" ref="B632:R632" si="177">B629+B631-B583</f>
        <v>116485.35000000002</v>
      </c>
      <c r="C632" s="141">
        <f t="shared" si="177"/>
        <v>456268.97999999992</v>
      </c>
      <c r="D632" s="141">
        <f t="shared" si="177"/>
        <v>2992015.8000000007</v>
      </c>
      <c r="E632" s="141">
        <f t="shared" si="177"/>
        <v>2876977.7099999986</v>
      </c>
      <c r="F632" s="141">
        <f t="shared" si="177"/>
        <v>1423652.7599999995</v>
      </c>
      <c r="G632" s="39">
        <f t="shared" si="177"/>
        <v>7865400.6000000006</v>
      </c>
      <c r="H632" s="141">
        <f t="shared" si="177"/>
        <v>2495698.9000000004</v>
      </c>
      <c r="I632" s="141">
        <f t="shared" si="177"/>
        <v>1198504.3000000003</v>
      </c>
      <c r="J632" s="141">
        <f t="shared" si="177"/>
        <v>495551.17000000033</v>
      </c>
      <c r="K632" s="141">
        <f t="shared" si="177"/>
        <v>468216.29000000004</v>
      </c>
      <c r="L632" s="141">
        <f t="shared" si="177"/>
        <v>1337567.1100000001</v>
      </c>
      <c r="M632" s="141">
        <f t="shared" si="177"/>
        <v>177195.21000000037</v>
      </c>
      <c r="N632" s="141">
        <f t="shared" si="177"/>
        <v>26386.23000000012</v>
      </c>
      <c r="O632" s="141">
        <f t="shared" si="177"/>
        <v>1218733.2299999995</v>
      </c>
      <c r="P632" s="141">
        <f t="shared" si="177"/>
        <v>124142.23000000016</v>
      </c>
      <c r="Q632" s="39">
        <f t="shared" si="177"/>
        <v>7541994.6699999962</v>
      </c>
      <c r="R632" s="39">
        <f t="shared" si="177"/>
        <v>4291117.6000000015</v>
      </c>
      <c r="S632" s="39">
        <f>S629+S631</f>
        <v>1548865.04</v>
      </c>
      <c r="T632" s="39">
        <f>T629+T631-T583</f>
        <v>180735.31000000006</v>
      </c>
      <c r="U632" s="39">
        <f>U629+U631-U583</f>
        <v>311897.93</v>
      </c>
      <c r="V632" s="39">
        <f>V629+V631-V583</f>
        <v>41735.81</v>
      </c>
      <c r="W632" s="140">
        <f>W629+W631-W583</f>
        <v>21775583.200000003</v>
      </c>
      <c r="X632" s="41">
        <f>W631+X629</f>
        <v>338463302.01999986</v>
      </c>
    </row>
    <row r="633" spans="1:28" ht="12.75" x14ac:dyDescent="0.2">
      <c r="A633" s="85"/>
      <c r="B633" s="43"/>
      <c r="C633" s="43"/>
      <c r="D633" s="43"/>
      <c r="E633" s="43"/>
      <c r="F633" s="43"/>
      <c r="G633" s="47"/>
      <c r="H633" s="43"/>
      <c r="I633" s="43"/>
      <c r="J633" s="43"/>
      <c r="K633" s="43"/>
      <c r="L633" s="43"/>
      <c r="M633" s="43"/>
      <c r="N633" s="43"/>
      <c r="O633" s="43"/>
      <c r="P633" s="43"/>
      <c r="Q633" s="47"/>
      <c r="R633" s="47"/>
      <c r="S633" s="47"/>
      <c r="T633" s="47"/>
      <c r="U633" s="47"/>
      <c r="V633" s="43"/>
      <c r="W633" s="87"/>
      <c r="X633" s="46"/>
    </row>
    <row r="634" spans="1:28" ht="12.75" x14ac:dyDescent="0.2">
      <c r="A634" s="82" t="s">
        <v>53</v>
      </c>
      <c r="B634" s="38">
        <v>9595.5400000000009</v>
      </c>
      <c r="C634" s="38">
        <v>0</v>
      </c>
      <c r="D634" s="38">
        <v>253908.72</v>
      </c>
      <c r="E634" s="38">
        <v>252456.22</v>
      </c>
      <c r="F634" s="38">
        <v>42594.14</v>
      </c>
      <c r="G634" s="39">
        <f>SUM(B634:F634)</f>
        <v>558554.62</v>
      </c>
      <c r="H634" s="38">
        <v>199254.66</v>
      </c>
      <c r="I634" s="38">
        <v>147375.67999999999</v>
      </c>
      <c r="J634" s="38">
        <v>5144.55</v>
      </c>
      <c r="K634" s="38">
        <v>7131.68</v>
      </c>
      <c r="L634" s="38">
        <v>0</v>
      </c>
      <c r="M634" s="38">
        <v>0</v>
      </c>
      <c r="N634" s="38">
        <v>0</v>
      </c>
      <c r="O634" s="38">
        <v>6465.92</v>
      </c>
      <c r="P634" s="38">
        <v>27208.83</v>
      </c>
      <c r="Q634" s="39">
        <f>SUM(H634:P634)</f>
        <v>392581.31999999995</v>
      </c>
      <c r="R634" s="39">
        <v>488310.19</v>
      </c>
      <c r="S634" s="39">
        <v>19491.2</v>
      </c>
      <c r="T634" s="39">
        <v>804.34</v>
      </c>
      <c r="U634" s="39">
        <v>14142.7</v>
      </c>
      <c r="V634" s="38">
        <v>0</v>
      </c>
      <c r="W634" s="83">
        <f>G634+Q634+R634+S634+T634+U634+V634</f>
        <v>1473884.3699999999</v>
      </c>
      <c r="X634" s="41"/>
      <c r="Z634" s="220"/>
      <c r="AA634" s="1" t="s">
        <v>146</v>
      </c>
      <c r="AB634" s="220">
        <f>W601+W604+W607+W610+W613+W616+W619+W622+W625+W628+W631+W634</f>
        <v>22072217.59</v>
      </c>
    </row>
    <row r="635" spans="1:28" ht="13.5" thickBot="1" x14ac:dyDescent="0.25">
      <c r="A635" s="88" t="s">
        <v>42</v>
      </c>
      <c r="B635" s="143">
        <f t="shared" ref="B635:V635" si="178">B632+B634-B586</f>
        <v>126080.89000000001</v>
      </c>
      <c r="C635" s="143">
        <f t="shared" si="178"/>
        <v>450488.09999999992</v>
      </c>
      <c r="D635" s="143">
        <f t="shared" si="178"/>
        <v>2987616.3000000007</v>
      </c>
      <c r="E635" s="143">
        <f t="shared" si="178"/>
        <v>2939903.649999999</v>
      </c>
      <c r="F635" s="143">
        <f t="shared" si="178"/>
        <v>1419999.8599999994</v>
      </c>
      <c r="G635" s="50">
        <f t="shared" si="178"/>
        <v>7924088.8000000007</v>
      </c>
      <c r="H635" s="143">
        <f t="shared" si="178"/>
        <v>2618054.0100000007</v>
      </c>
      <c r="I635" s="143">
        <f t="shared" si="178"/>
        <v>1345879.9800000002</v>
      </c>
      <c r="J635" s="143">
        <f t="shared" si="178"/>
        <v>454185.78000000032</v>
      </c>
      <c r="K635" s="143">
        <f t="shared" si="178"/>
        <v>420748.37000000005</v>
      </c>
      <c r="L635" s="198">
        <f t="shared" si="178"/>
        <v>1212767.8900000001</v>
      </c>
      <c r="M635" s="143">
        <f t="shared" si="178"/>
        <v>177195.21000000037</v>
      </c>
      <c r="N635" s="143">
        <f t="shared" si="178"/>
        <v>9076.5900000001202</v>
      </c>
      <c r="O635" s="143">
        <f t="shared" si="178"/>
        <v>1090997.2699999996</v>
      </c>
      <c r="P635" s="143">
        <f t="shared" si="178"/>
        <v>151351.06000000017</v>
      </c>
      <c r="Q635" s="50">
        <f t="shared" si="178"/>
        <v>7480256.1599999964</v>
      </c>
      <c r="R635" s="50">
        <f t="shared" si="178"/>
        <v>4556364.0600000015</v>
      </c>
      <c r="S635" s="50">
        <f>S632+S634</f>
        <v>1568356.24</v>
      </c>
      <c r="T635" s="50">
        <f t="shared" si="178"/>
        <v>175375.89000000004</v>
      </c>
      <c r="U635" s="50">
        <f t="shared" si="178"/>
        <v>326040.63</v>
      </c>
      <c r="V635" s="50">
        <f t="shared" si="178"/>
        <v>41735.81</v>
      </c>
      <c r="W635" s="144">
        <f>W632+W634-W586</f>
        <v>22072217.590000004</v>
      </c>
      <c r="X635" s="51">
        <f>W634+X632</f>
        <v>339937186.38999987</v>
      </c>
      <c r="AB635" s="220">
        <f>W635-AB634</f>
        <v>0</v>
      </c>
    </row>
    <row r="636" spans="1:28" ht="12.75" x14ac:dyDescent="0.2">
      <c r="A636" s="92"/>
      <c r="C636" s="90"/>
      <c r="D636" s="90"/>
      <c r="E636" s="90"/>
      <c r="F636" s="90"/>
      <c r="G636" s="90"/>
      <c r="I636" s="90"/>
      <c r="J636" s="90"/>
      <c r="K636" s="90"/>
      <c r="L636" s="90"/>
      <c r="M636" s="90"/>
      <c r="N636" s="90"/>
      <c r="O636" s="171"/>
      <c r="P636" s="90"/>
      <c r="Q636" s="52" t="s">
        <v>188</v>
      </c>
      <c r="S636" s="52"/>
      <c r="T636" s="52"/>
      <c r="U636" s="52"/>
      <c r="V636" s="52"/>
      <c r="W636" s="90"/>
      <c r="X636" s="91"/>
    </row>
    <row r="637" spans="1:28" ht="12.75" x14ac:dyDescent="0.2">
      <c r="B637" s="1" t="s">
        <v>131</v>
      </c>
      <c r="P637" t="s">
        <v>122</v>
      </c>
      <c r="X637" s="9"/>
    </row>
    <row r="638" spans="1:28" x14ac:dyDescent="0.2">
      <c r="B638" s="137" t="s">
        <v>150</v>
      </c>
    </row>
    <row r="639" spans="1:28" ht="12.75" x14ac:dyDescent="0.2">
      <c r="G639" s="225">
        <f>G601+G604+G607+G610+G613+G616+G619+G622+G625+G628+G631+G634</f>
        <v>7924088.7999999989</v>
      </c>
      <c r="Q639" s="225">
        <f t="shared" ref="Q639:W639" si="179">Q601+Q604+Q607+Q610+Q613+Q616+Q619+Q622+Q625+Q628+Q631+Q634</f>
        <v>7480256.1600000011</v>
      </c>
      <c r="R639" s="225">
        <f t="shared" si="179"/>
        <v>4556364.0599999996</v>
      </c>
      <c r="S639" s="225">
        <f t="shared" si="179"/>
        <v>1568356.24</v>
      </c>
      <c r="T639" s="225">
        <f t="shared" si="179"/>
        <v>175375.89</v>
      </c>
      <c r="U639" s="225">
        <f t="shared" si="179"/>
        <v>326040.63</v>
      </c>
      <c r="V639" s="225">
        <f t="shared" si="179"/>
        <v>41735.81</v>
      </c>
      <c r="W639" s="225">
        <f t="shared" si="179"/>
        <v>22072217.59</v>
      </c>
      <c r="X639" s="220">
        <f>SUM(G639:V639)-W639</f>
        <v>0</v>
      </c>
    </row>
    <row r="640" spans="1:28" ht="27" x14ac:dyDescent="0.35">
      <c r="A640" s="133" t="s">
        <v>141</v>
      </c>
      <c r="B640" s="54"/>
      <c r="C640" s="122"/>
      <c r="D640" s="58"/>
      <c r="E640" s="127"/>
      <c r="F640" s="128"/>
      <c r="G640" s="127"/>
      <c r="H640" s="129"/>
      <c r="I640" s="130"/>
      <c r="J640" s="130"/>
      <c r="K640" s="130"/>
      <c r="L640" s="130"/>
      <c r="M640" s="130"/>
      <c r="N640" s="130"/>
      <c r="O640" s="130"/>
      <c r="P640" s="130"/>
      <c r="Q640" s="130"/>
      <c r="R640" s="128"/>
      <c r="S640" s="128"/>
      <c r="T640" s="128"/>
      <c r="U640" s="128"/>
      <c r="V640" s="128"/>
      <c r="W640" s="130"/>
      <c r="X640" s="131"/>
    </row>
    <row r="641" spans="1:27" ht="15.75" x14ac:dyDescent="0.25">
      <c r="A641" s="136"/>
      <c r="B641" s="170"/>
      <c r="C641" s="54"/>
      <c r="D641" s="53"/>
      <c r="E641" s="53"/>
      <c r="F641" s="132"/>
      <c r="H641" s="55"/>
      <c r="I641" s="55"/>
      <c r="J641" s="54"/>
      <c r="K641" s="56"/>
      <c r="L641" s="57"/>
      <c r="M641" s="54"/>
      <c r="N641" s="54" t="s">
        <v>60</v>
      </c>
      <c r="O641" s="54"/>
      <c r="P641" s="54"/>
      <c r="Q641" s="57"/>
      <c r="R641" s="58"/>
      <c r="S641" s="58"/>
      <c r="T641" s="58"/>
      <c r="U641" s="58"/>
      <c r="V641" s="58"/>
      <c r="W641" s="54"/>
      <c r="X641" s="54"/>
    </row>
    <row r="642" spans="1:27" ht="27" x14ac:dyDescent="0.35">
      <c r="A642" s="134" t="s">
        <v>6</v>
      </c>
      <c r="B642" s="122"/>
      <c r="C642" s="122"/>
      <c r="D642" s="122"/>
      <c r="E642" s="122"/>
      <c r="F642" s="122"/>
      <c r="H642" s="122"/>
      <c r="I642" s="122"/>
      <c r="J642" s="122"/>
      <c r="K642" s="122"/>
      <c r="L642" s="122"/>
      <c r="M642" s="122"/>
      <c r="N642" s="122"/>
      <c r="O642" s="122"/>
      <c r="P642" s="122"/>
      <c r="Q642" s="122"/>
      <c r="R642" s="122"/>
      <c r="S642" s="122"/>
      <c r="T642" s="122"/>
      <c r="U642" s="122"/>
      <c r="V642" s="122"/>
      <c r="W642" s="142"/>
      <c r="X642" s="122"/>
    </row>
    <row r="643" spans="1:27" ht="12" thickBot="1" x14ac:dyDescent="0.25">
      <c r="B643" s="2"/>
      <c r="C643" s="2"/>
      <c r="D643" s="2"/>
      <c r="E643" s="2"/>
      <c r="F643" s="59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 t="s">
        <v>60</v>
      </c>
      <c r="W643" s="2"/>
      <c r="X643" s="57"/>
    </row>
    <row r="644" spans="1:27" x14ac:dyDescent="0.2">
      <c r="A644" s="14"/>
      <c r="B644" s="15"/>
      <c r="C644" s="15"/>
      <c r="D644" s="15"/>
      <c r="E644" s="15"/>
      <c r="F644" s="15"/>
      <c r="G644" s="15"/>
      <c r="H644" s="15"/>
      <c r="I644" s="15"/>
      <c r="J644" s="15"/>
      <c r="K644" s="15"/>
      <c r="L644" s="15"/>
      <c r="M644" s="15"/>
      <c r="N644" s="15"/>
      <c r="O644" s="15"/>
      <c r="P644" s="15"/>
      <c r="Q644" s="15"/>
      <c r="R644" s="16"/>
      <c r="S644" s="16"/>
      <c r="T644" s="16"/>
      <c r="U644" s="16"/>
      <c r="V644" s="16"/>
      <c r="W644" s="15"/>
      <c r="X644" s="60" t="s">
        <v>60</v>
      </c>
    </row>
    <row r="645" spans="1:27" ht="13.5" thickBot="1" x14ac:dyDescent="0.25">
      <c r="A645" s="18"/>
      <c r="B645" s="61"/>
      <c r="C645" s="62"/>
      <c r="D645" s="63" t="s">
        <v>73</v>
      </c>
      <c r="E645" s="64"/>
      <c r="F645" s="64"/>
      <c r="G645" s="64"/>
      <c r="H645" s="61"/>
      <c r="I645" s="64"/>
      <c r="J645" s="64"/>
      <c r="K645" s="65" t="s">
        <v>74</v>
      </c>
      <c r="L645" s="64"/>
      <c r="M645" s="64"/>
      <c r="N645" s="64"/>
      <c r="O645" s="64"/>
      <c r="P645" s="64"/>
      <c r="Q645" s="138"/>
      <c r="R645" s="64"/>
      <c r="S645" s="64"/>
      <c r="T645" s="64"/>
      <c r="U645" s="64"/>
      <c r="V645" s="64"/>
      <c r="W645" s="66"/>
      <c r="X645" s="36" t="s">
        <v>60</v>
      </c>
    </row>
    <row r="646" spans="1:27" ht="12" x14ac:dyDescent="0.2">
      <c r="A646" s="67"/>
      <c r="B646" s="68" t="s">
        <v>11</v>
      </c>
      <c r="C646" s="68" t="s">
        <v>12</v>
      </c>
      <c r="D646" s="68" t="s">
        <v>13</v>
      </c>
      <c r="E646" s="68" t="s">
        <v>14</v>
      </c>
      <c r="F646" s="68" t="s">
        <v>15</v>
      </c>
      <c r="G646" s="69" t="s">
        <v>16</v>
      </c>
      <c r="H646" s="68" t="s">
        <v>17</v>
      </c>
      <c r="I646" s="70"/>
      <c r="J646" s="70"/>
      <c r="K646" s="70"/>
      <c r="L646" s="70"/>
      <c r="M646" s="68" t="s">
        <v>18</v>
      </c>
      <c r="N646" s="68" t="s">
        <v>19</v>
      </c>
      <c r="O646" s="68" t="s">
        <v>20</v>
      </c>
      <c r="P646" s="68" t="s">
        <v>21</v>
      </c>
      <c r="Q646" s="69" t="s">
        <v>16</v>
      </c>
      <c r="R646" s="203" t="s">
        <v>69</v>
      </c>
      <c r="S646" s="202" t="s">
        <v>126</v>
      </c>
      <c r="T646" s="202" t="s">
        <v>138</v>
      </c>
      <c r="U646" s="202" t="s">
        <v>134</v>
      </c>
      <c r="V646" s="202" t="s">
        <v>136</v>
      </c>
      <c r="W646" s="72" t="s">
        <v>7</v>
      </c>
      <c r="X646" s="73" t="s">
        <v>70</v>
      </c>
    </row>
    <row r="647" spans="1:27" ht="12.75" thickBot="1" x14ac:dyDescent="0.25">
      <c r="A647" s="75"/>
      <c r="B647" s="76" t="s">
        <v>23</v>
      </c>
      <c r="C647" s="76" t="s">
        <v>24</v>
      </c>
      <c r="D647" s="76" t="s">
        <v>25</v>
      </c>
      <c r="E647" s="76" t="s">
        <v>26</v>
      </c>
      <c r="F647" s="76" t="s">
        <v>27</v>
      </c>
      <c r="G647" s="77" t="s">
        <v>28</v>
      </c>
      <c r="H647" s="76" t="s">
        <v>29</v>
      </c>
      <c r="I647" s="76" t="s">
        <v>30</v>
      </c>
      <c r="J647" s="76" t="s">
        <v>31</v>
      </c>
      <c r="K647" s="76" t="s">
        <v>32</v>
      </c>
      <c r="L647" s="76" t="s">
        <v>33</v>
      </c>
      <c r="M647" s="76" t="s">
        <v>34</v>
      </c>
      <c r="N647" s="76" t="s">
        <v>35</v>
      </c>
      <c r="O647" s="76" t="s">
        <v>36</v>
      </c>
      <c r="P647" s="76" t="s">
        <v>37</v>
      </c>
      <c r="Q647" s="77" t="s">
        <v>28</v>
      </c>
      <c r="R647" s="204" t="s">
        <v>82</v>
      </c>
      <c r="S647" s="78" t="s">
        <v>130</v>
      </c>
      <c r="T647" s="78" t="s">
        <v>139</v>
      </c>
      <c r="U647" s="78" t="s">
        <v>135</v>
      </c>
      <c r="V647" s="78" t="s">
        <v>137</v>
      </c>
      <c r="W647" s="79" t="s">
        <v>10</v>
      </c>
      <c r="X647" s="80" t="s">
        <v>71</v>
      </c>
    </row>
    <row r="648" spans="1:27" x14ac:dyDescent="0.2">
      <c r="A648" s="18"/>
      <c r="B648" s="33"/>
      <c r="C648" s="33"/>
      <c r="D648" s="33"/>
      <c r="E648" s="33"/>
      <c r="F648" s="33"/>
      <c r="G648" s="34"/>
      <c r="H648" s="33"/>
      <c r="I648" s="33"/>
      <c r="J648" s="33"/>
      <c r="K648" s="33"/>
      <c r="L648" s="33"/>
      <c r="M648" s="33"/>
      <c r="N648" s="33"/>
      <c r="O648" s="33"/>
      <c r="P648" s="33"/>
      <c r="Q648" s="34"/>
      <c r="R648" s="205"/>
      <c r="S648" s="214"/>
      <c r="T648" s="214"/>
      <c r="U648" s="214"/>
      <c r="V648" s="35"/>
      <c r="W648" s="81"/>
      <c r="X648" s="36"/>
    </row>
    <row r="649" spans="1:27" ht="12.75" x14ac:dyDescent="0.2">
      <c r="A649" s="82" t="s">
        <v>41</v>
      </c>
      <c r="B649" s="38">
        <v>0</v>
      </c>
      <c r="C649" s="38">
        <v>0</v>
      </c>
      <c r="D649" s="38">
        <v>228592.8</v>
      </c>
      <c r="E649" s="38">
        <v>264385.62</v>
      </c>
      <c r="F649" s="38">
        <v>130538.52</v>
      </c>
      <c r="G649" s="39">
        <f>SUM(B649:F649)</f>
        <v>623516.93999999994</v>
      </c>
      <c r="H649" s="38">
        <v>208372.75</v>
      </c>
      <c r="I649" s="38">
        <v>142931.57</v>
      </c>
      <c r="J649" s="38">
        <v>0</v>
      </c>
      <c r="K649" s="38">
        <v>0</v>
      </c>
      <c r="L649" s="38">
        <v>88964.52</v>
      </c>
      <c r="M649" s="38">
        <v>0</v>
      </c>
      <c r="N649" s="38">
        <v>0</v>
      </c>
      <c r="O649" s="38">
        <v>34328.949999999997</v>
      </c>
      <c r="P649" s="38">
        <v>0</v>
      </c>
      <c r="Q649" s="39">
        <f>SUM(H649:P649)</f>
        <v>474597.79000000004</v>
      </c>
      <c r="R649" s="39">
        <v>521936.26</v>
      </c>
      <c r="S649" s="39">
        <v>0</v>
      </c>
      <c r="T649" s="39">
        <f>-3233.31*0+-3233.46</f>
        <v>-3233.46</v>
      </c>
      <c r="U649" s="39">
        <v>0</v>
      </c>
      <c r="V649" s="39">
        <v>3490.16</v>
      </c>
      <c r="W649" s="83">
        <f>Q649+G649+R649+S649+T649+U649+V649</f>
        <v>1620307.69</v>
      </c>
      <c r="X649" s="41"/>
      <c r="Z649" s="220"/>
      <c r="AA649" s="1" t="s">
        <v>147</v>
      </c>
    </row>
    <row r="650" spans="1:27" ht="12.75" x14ac:dyDescent="0.2">
      <c r="A650" s="82" t="s">
        <v>42</v>
      </c>
      <c r="B650" s="141">
        <f t="shared" ref="B650:W650" si="180">B635+B649-B601</f>
        <v>126080.89000000001</v>
      </c>
      <c r="C650" s="141">
        <f t="shared" si="180"/>
        <v>450488.09999999992</v>
      </c>
      <c r="D650" s="141">
        <f t="shared" si="180"/>
        <v>2951678.4000000004</v>
      </c>
      <c r="E650" s="141">
        <f t="shared" si="180"/>
        <v>3030649.1199999992</v>
      </c>
      <c r="F650" s="141">
        <f t="shared" si="180"/>
        <v>1473550.9399999995</v>
      </c>
      <c r="G650" s="172">
        <f t="shared" si="180"/>
        <v>8032447.4500000002</v>
      </c>
      <c r="H650" s="141">
        <f t="shared" si="180"/>
        <v>2732827.8900000006</v>
      </c>
      <c r="I650" s="141">
        <f t="shared" si="180"/>
        <v>1488811.5500000003</v>
      </c>
      <c r="J650" s="141">
        <f t="shared" si="180"/>
        <v>400635.22000000032</v>
      </c>
      <c r="K650" s="141">
        <f t="shared" si="180"/>
        <v>386317.51000000007</v>
      </c>
      <c r="L650" s="141">
        <f t="shared" si="180"/>
        <v>1281864.7200000002</v>
      </c>
      <c r="M650" s="141">
        <f t="shared" si="180"/>
        <v>163489.84000000037</v>
      </c>
      <c r="N650" s="141">
        <f t="shared" si="180"/>
        <v>1.2005330063402653E-10</v>
      </c>
      <c r="O650" s="141">
        <f t="shared" si="180"/>
        <v>1004752.0099999995</v>
      </c>
      <c r="P650" s="141">
        <f t="shared" si="180"/>
        <v>151351.06000000017</v>
      </c>
      <c r="Q650" s="39">
        <f t="shared" si="180"/>
        <v>7610049.7999999961</v>
      </c>
      <c r="R650" s="172">
        <f t="shared" si="180"/>
        <v>4749535.6000000015</v>
      </c>
      <c r="S650" s="172">
        <f>S635+S649-S601</f>
        <v>1568356.24</v>
      </c>
      <c r="T650" s="172">
        <f t="shared" si="180"/>
        <v>157854.16000000006</v>
      </c>
      <c r="U650" s="172">
        <f t="shared" si="180"/>
        <v>326040.63</v>
      </c>
      <c r="V650" s="172">
        <f t="shared" si="180"/>
        <v>45225.97</v>
      </c>
      <c r="W650" s="83">
        <f t="shared" si="180"/>
        <v>22489509.850000005</v>
      </c>
      <c r="X650" s="41">
        <f>X635+W649</f>
        <v>341557494.07999986</v>
      </c>
    </row>
    <row r="651" spans="1:27" ht="12.75" x14ac:dyDescent="0.2">
      <c r="A651" s="85"/>
      <c r="B651" s="38"/>
      <c r="C651" s="38"/>
      <c r="D651" s="38"/>
      <c r="E651" s="38"/>
      <c r="F651" s="38"/>
      <c r="G651" s="39"/>
      <c r="H651" s="38"/>
      <c r="I651" s="38"/>
      <c r="J651" s="38"/>
      <c r="K651" s="38"/>
      <c r="L651" s="38"/>
      <c r="M651" s="38"/>
      <c r="N651" s="38"/>
      <c r="O651" s="38"/>
      <c r="P651" s="38"/>
      <c r="Q651" s="39" t="s">
        <v>60</v>
      </c>
      <c r="R651" s="47"/>
      <c r="S651" s="47"/>
      <c r="T651" s="47"/>
      <c r="U651" s="47"/>
      <c r="V651" s="43"/>
      <c r="W651" s="83"/>
      <c r="X651" s="41"/>
    </row>
    <row r="652" spans="1:27" ht="12.75" x14ac:dyDescent="0.2">
      <c r="A652" s="82" t="s">
        <v>43</v>
      </c>
      <c r="B652" s="38">
        <v>0</v>
      </c>
      <c r="C652" s="38">
        <v>0</v>
      </c>
      <c r="D652" s="38">
        <v>315819</v>
      </c>
      <c r="E652" s="38">
        <v>222877.98</v>
      </c>
      <c r="F652" s="38">
        <v>101362.86</v>
      </c>
      <c r="G652" s="39">
        <f>SUM(B652:F652)</f>
        <v>640059.84</v>
      </c>
      <c r="H652" s="38">
        <v>171402.07</v>
      </c>
      <c r="I652" s="38">
        <v>59280.43</v>
      </c>
      <c r="J652" s="38">
        <v>0</v>
      </c>
      <c r="K652" s="38">
        <v>0</v>
      </c>
      <c r="L652" s="38">
        <v>134323.53</v>
      </c>
      <c r="M652" s="38">
        <v>0</v>
      </c>
      <c r="N652" s="38">
        <v>0</v>
      </c>
      <c r="O652" s="38">
        <v>54082.3</v>
      </c>
      <c r="P652" s="38">
        <v>0</v>
      </c>
      <c r="Q652" s="39">
        <f>SUM(H652:P652)</f>
        <v>419088.33</v>
      </c>
      <c r="R652" s="39">
        <v>470472.54</v>
      </c>
      <c r="S652" s="39">
        <v>9157.2999999999993</v>
      </c>
      <c r="T652" s="39">
        <v>3272.56</v>
      </c>
      <c r="U652" s="39">
        <v>5127.7</v>
      </c>
      <c r="V652" s="39">
        <v>0</v>
      </c>
      <c r="W652" s="83">
        <f>Q652+G652+R652+S652+T652+U652+V652</f>
        <v>1547178.27</v>
      </c>
      <c r="X652" s="41"/>
      <c r="Z652" s="220"/>
    </row>
    <row r="653" spans="1:27" ht="12.75" x14ac:dyDescent="0.2">
      <c r="A653" s="82" t="s">
        <v>42</v>
      </c>
      <c r="B653" s="141">
        <f t="shared" ref="B653:W653" si="181">B650+B652-B604</f>
        <v>126080.89000000001</v>
      </c>
      <c r="C653" s="141">
        <f t="shared" si="181"/>
        <v>450488.09999999992</v>
      </c>
      <c r="D653" s="141">
        <f t="shared" si="181"/>
        <v>3057734.5200000005</v>
      </c>
      <c r="E653" s="141">
        <f t="shared" si="181"/>
        <v>3086581.5099999993</v>
      </c>
      <c r="F653" s="141">
        <f t="shared" si="181"/>
        <v>1451064.4399999995</v>
      </c>
      <c r="G653" s="39">
        <f t="shared" si="181"/>
        <v>8171949.4600000009</v>
      </c>
      <c r="H653" s="141">
        <f t="shared" si="181"/>
        <v>2775775.3000000003</v>
      </c>
      <c r="I653" s="141">
        <f t="shared" si="181"/>
        <v>1540328.2900000003</v>
      </c>
      <c r="J653" s="141">
        <f t="shared" si="181"/>
        <v>400635.22000000032</v>
      </c>
      <c r="K653" s="141">
        <f t="shared" si="181"/>
        <v>386317.51000000007</v>
      </c>
      <c r="L653" s="141">
        <f t="shared" si="181"/>
        <v>1416188.2500000002</v>
      </c>
      <c r="M653" s="141">
        <f t="shared" si="181"/>
        <v>149771.61000000036</v>
      </c>
      <c r="N653" s="141">
        <f t="shared" si="181"/>
        <v>1.2005330063402653E-10</v>
      </c>
      <c r="O653" s="141">
        <f t="shared" si="181"/>
        <v>942445.89999999956</v>
      </c>
      <c r="P653" s="141">
        <f t="shared" si="181"/>
        <v>151351.06000000017</v>
      </c>
      <c r="Q653" s="39">
        <f t="shared" si="181"/>
        <v>7762813.1399999959</v>
      </c>
      <c r="R653" s="39">
        <f t="shared" si="181"/>
        <v>4778412.2200000016</v>
      </c>
      <c r="S653" s="39">
        <f>S650+S652-S604</f>
        <v>1348321.54</v>
      </c>
      <c r="T653" s="39">
        <f t="shared" si="181"/>
        <v>133833.79000000007</v>
      </c>
      <c r="U653" s="39">
        <f t="shared" si="181"/>
        <v>331168.33</v>
      </c>
      <c r="V653" s="39">
        <f t="shared" si="181"/>
        <v>45225.97</v>
      </c>
      <c r="W653" s="140">
        <f t="shared" si="181"/>
        <v>22571724.450000003</v>
      </c>
      <c r="X653" s="41">
        <f>W652+X650</f>
        <v>343104672.34999985</v>
      </c>
    </row>
    <row r="654" spans="1:27" ht="12.75" x14ac:dyDescent="0.2">
      <c r="A654" s="85"/>
      <c r="B654" s="44"/>
      <c r="C654" s="44"/>
      <c r="D654" s="44"/>
      <c r="E654" s="44"/>
      <c r="F654" s="44"/>
      <c r="G654" s="45"/>
      <c r="H654" s="44"/>
      <c r="I654" s="44"/>
      <c r="J654" s="44"/>
      <c r="K654" s="44"/>
      <c r="L654" s="44"/>
      <c r="M654" s="44"/>
      <c r="N654" s="44"/>
      <c r="O654" s="44"/>
      <c r="P654" s="44"/>
      <c r="Q654" s="45"/>
      <c r="R654" s="47"/>
      <c r="S654" s="47"/>
      <c r="T654" s="47"/>
      <c r="U654" s="47"/>
      <c r="V654" s="43"/>
      <c r="W654" s="86"/>
      <c r="X654" s="46"/>
    </row>
    <row r="655" spans="1:27" ht="12.75" x14ac:dyDescent="0.2">
      <c r="A655" s="82" t="s">
        <v>44</v>
      </c>
      <c r="B655" s="38">
        <v>0</v>
      </c>
      <c r="C655" s="38">
        <v>79105.14</v>
      </c>
      <c r="D655" s="38">
        <v>279725.40000000002</v>
      </c>
      <c r="E655" s="38">
        <v>298674.53999999998</v>
      </c>
      <c r="F655" s="38">
        <v>124522.92</v>
      </c>
      <c r="G655" s="39">
        <f>SUM(B655:F655)</f>
        <v>782028.00000000012</v>
      </c>
      <c r="H655" s="38">
        <v>184643.09</v>
      </c>
      <c r="I655" s="38">
        <v>124259.19</v>
      </c>
      <c r="J655" s="38">
        <v>54530.42</v>
      </c>
      <c r="K655" s="38">
        <v>31704.02</v>
      </c>
      <c r="L655" s="38">
        <v>145034.06</v>
      </c>
      <c r="M655" s="38">
        <v>0</v>
      </c>
      <c r="N655" s="38">
        <v>0</v>
      </c>
      <c r="O655" s="38">
        <v>57405.34</v>
      </c>
      <c r="P655" s="38">
        <v>0</v>
      </c>
      <c r="Q655" s="39">
        <f>SUM(H655:P655)</f>
        <v>597576.12</v>
      </c>
      <c r="R655" s="39">
        <v>462783.72</v>
      </c>
      <c r="S655" s="39">
        <v>0</v>
      </c>
      <c r="T655" s="39">
        <v>6605.35</v>
      </c>
      <c r="U655" s="39">
        <v>0</v>
      </c>
      <c r="V655" s="38">
        <v>0</v>
      </c>
      <c r="W655" s="83">
        <f>Q655+G655+R655+S655+T655+U655+V655</f>
        <v>1848993.1900000002</v>
      </c>
      <c r="X655" s="41"/>
      <c r="Z655" s="220"/>
    </row>
    <row r="656" spans="1:27" ht="12.75" x14ac:dyDescent="0.2">
      <c r="A656" s="82" t="s">
        <v>42</v>
      </c>
      <c r="B656" s="141">
        <f t="shared" ref="B656:W656" si="182">B653+B655-B607</f>
        <v>126080.89000000001</v>
      </c>
      <c r="C656" s="141">
        <f t="shared" si="182"/>
        <v>529593.23999999987</v>
      </c>
      <c r="D656" s="141">
        <f t="shared" si="182"/>
        <v>3091992.72</v>
      </c>
      <c r="E656" s="141">
        <f t="shared" si="182"/>
        <v>3101574.0699999994</v>
      </c>
      <c r="F656" s="141">
        <f t="shared" si="182"/>
        <v>1424680.8199999994</v>
      </c>
      <c r="G656" s="39">
        <f t="shared" si="182"/>
        <v>8273921.7400000012</v>
      </c>
      <c r="H656" s="141">
        <f t="shared" si="182"/>
        <v>2819578.74</v>
      </c>
      <c r="I656" s="141">
        <f t="shared" si="182"/>
        <v>1664587.4800000002</v>
      </c>
      <c r="J656" s="141">
        <f t="shared" si="182"/>
        <v>455165.64000000031</v>
      </c>
      <c r="K656" s="141">
        <f t="shared" si="182"/>
        <v>418021.53000000009</v>
      </c>
      <c r="L656" s="141">
        <f t="shared" si="182"/>
        <v>1555153.8600000003</v>
      </c>
      <c r="M656" s="141">
        <f t="shared" si="182"/>
        <v>142162.93000000037</v>
      </c>
      <c r="N656" s="141">
        <f t="shared" si="182"/>
        <v>1.2005330063402653E-10</v>
      </c>
      <c r="O656" s="141">
        <f t="shared" si="182"/>
        <v>881335.22999999952</v>
      </c>
      <c r="P656" s="141">
        <f t="shared" si="182"/>
        <v>151351.06000000017</v>
      </c>
      <c r="Q656" s="39">
        <f t="shared" si="182"/>
        <v>8087356.469999996</v>
      </c>
      <c r="R656" s="39">
        <f t="shared" si="182"/>
        <v>4608116.8200000012</v>
      </c>
      <c r="S656" s="39">
        <f>S653+S655-S607</f>
        <v>1044393.54</v>
      </c>
      <c r="T656" s="39">
        <f t="shared" si="182"/>
        <v>96200.81000000007</v>
      </c>
      <c r="U656" s="39">
        <f t="shared" si="182"/>
        <v>259463.71000000002</v>
      </c>
      <c r="V656" s="226">
        <f t="shared" si="182"/>
        <v>45225.97</v>
      </c>
      <c r="W656" s="83">
        <f t="shared" si="182"/>
        <v>22414679.060000002</v>
      </c>
      <c r="X656" s="41">
        <f>W655+X653</f>
        <v>344953665.53999984</v>
      </c>
    </row>
    <row r="657" spans="1:27" ht="12.75" x14ac:dyDescent="0.2">
      <c r="A657" s="85"/>
      <c r="B657" s="43"/>
      <c r="C657" s="43"/>
      <c r="D657" s="43"/>
      <c r="E657" s="43"/>
      <c r="F657" s="43"/>
      <c r="G657" s="47"/>
      <c r="H657" s="43"/>
      <c r="I657" s="43"/>
      <c r="J657" s="43"/>
      <c r="K657" s="43"/>
      <c r="L657" s="43"/>
      <c r="M657" s="43"/>
      <c r="N657" s="43"/>
      <c r="O657" s="43"/>
      <c r="P657" s="43"/>
      <c r="Q657" s="47"/>
      <c r="R657" s="47"/>
      <c r="S657" s="47"/>
      <c r="T657" s="47"/>
      <c r="U657" s="47"/>
      <c r="V657" s="43"/>
      <c r="W657" s="87"/>
      <c r="X657" s="46"/>
    </row>
    <row r="658" spans="1:27" ht="12.75" x14ac:dyDescent="0.2">
      <c r="A658" s="82" t="s">
        <v>45</v>
      </c>
      <c r="B658" s="38">
        <v>0</v>
      </c>
      <c r="C658" s="38">
        <v>98956.62</v>
      </c>
      <c r="D658" s="38">
        <v>268897.32</v>
      </c>
      <c r="E658" s="38">
        <v>250399.35</v>
      </c>
      <c r="F658" s="38">
        <v>126026.82</v>
      </c>
      <c r="G658" s="39">
        <f>SUM(B658:F658)</f>
        <v>744280.1100000001</v>
      </c>
      <c r="H658" s="38">
        <v>197724.87</v>
      </c>
      <c r="I658" s="38">
        <v>102861.18</v>
      </c>
      <c r="J658" s="38">
        <v>50868.89</v>
      </c>
      <c r="K658" s="38">
        <v>58768.84</v>
      </c>
      <c r="L658" s="38">
        <v>125209.67</v>
      </c>
      <c r="M658" s="38">
        <v>3450.06</v>
      </c>
      <c r="N658" s="38">
        <v>0</v>
      </c>
      <c r="O658" s="38">
        <v>23110.98</v>
      </c>
      <c r="P658" s="38">
        <v>0</v>
      </c>
      <c r="Q658" s="39">
        <f>SUM(H658:P658)</f>
        <v>561994.49000000011</v>
      </c>
      <c r="R658" s="39">
        <v>176319.83</v>
      </c>
      <c r="S658" s="39">
        <v>167346.06</v>
      </c>
      <c r="T658" s="39">
        <v>6055.84</v>
      </c>
      <c r="U658" s="39">
        <v>2340.63</v>
      </c>
      <c r="V658" s="38">
        <v>1794.7</v>
      </c>
      <c r="W658" s="83">
        <f>Q658+G658+R658+S658+T658+U658+V658</f>
        <v>1660131.6600000001</v>
      </c>
      <c r="X658" s="41"/>
      <c r="Z658" s="220"/>
    </row>
    <row r="659" spans="1:27" ht="12.75" x14ac:dyDescent="0.2">
      <c r="A659" s="82" t="s">
        <v>42</v>
      </c>
      <c r="B659" s="141">
        <f t="shared" ref="B659:W659" si="183">B656+B658-B610</f>
        <v>126080.89000000001</v>
      </c>
      <c r="C659" s="141">
        <f t="shared" si="183"/>
        <v>628549.85999999987</v>
      </c>
      <c r="D659" s="141">
        <f t="shared" si="183"/>
        <v>3126022.56</v>
      </c>
      <c r="E659" s="141">
        <f t="shared" si="183"/>
        <v>3080006.9199999995</v>
      </c>
      <c r="F659" s="141">
        <f t="shared" si="183"/>
        <v>1418490.0799999994</v>
      </c>
      <c r="G659" s="39">
        <f t="shared" si="183"/>
        <v>8379150.3100000015</v>
      </c>
      <c r="H659" s="141">
        <f t="shared" si="183"/>
        <v>2850984.3200000003</v>
      </c>
      <c r="I659" s="141">
        <f t="shared" si="183"/>
        <v>1746545.07</v>
      </c>
      <c r="J659" s="141">
        <f t="shared" si="183"/>
        <v>472802.49000000034</v>
      </c>
      <c r="K659" s="141">
        <f t="shared" si="183"/>
        <v>427255.58000000013</v>
      </c>
      <c r="L659" s="141">
        <f t="shared" si="183"/>
        <v>1605274.5600000003</v>
      </c>
      <c r="M659" s="141">
        <f t="shared" si="183"/>
        <v>127227.81000000038</v>
      </c>
      <c r="N659" s="141">
        <f t="shared" si="183"/>
        <v>1.2005330063402653E-10</v>
      </c>
      <c r="O659" s="141">
        <f t="shared" si="183"/>
        <v>845379.05999999947</v>
      </c>
      <c r="P659" s="141">
        <f t="shared" si="183"/>
        <v>151351.06000000017</v>
      </c>
      <c r="Q659" s="39">
        <f t="shared" si="183"/>
        <v>8226819.9499999955</v>
      </c>
      <c r="R659" s="39">
        <f t="shared" si="183"/>
        <v>4674093.2300000014</v>
      </c>
      <c r="S659" s="39">
        <f t="shared" si="183"/>
        <v>894771.60000000009</v>
      </c>
      <c r="T659" s="39">
        <f t="shared" si="183"/>
        <v>94184.350000000064</v>
      </c>
      <c r="U659" s="39">
        <f t="shared" si="183"/>
        <v>261804.34000000003</v>
      </c>
      <c r="V659" s="39">
        <f t="shared" si="183"/>
        <v>47020.67</v>
      </c>
      <c r="W659" s="140">
        <f t="shared" si="183"/>
        <v>22577844.450000003</v>
      </c>
      <c r="X659" s="41">
        <f>W658+X656</f>
        <v>346613797.19999987</v>
      </c>
    </row>
    <row r="660" spans="1:27" ht="12.75" x14ac:dyDescent="0.2">
      <c r="A660" s="85"/>
      <c r="B660" s="44"/>
      <c r="C660" s="44"/>
      <c r="D660" s="44"/>
      <c r="E660" s="44"/>
      <c r="F660" s="44"/>
      <c r="G660" s="45"/>
      <c r="H660" s="44"/>
      <c r="I660" s="44"/>
      <c r="J660" s="44"/>
      <c r="K660" s="44"/>
      <c r="L660" s="44"/>
      <c r="M660" s="44"/>
      <c r="N660" s="44"/>
      <c r="O660" s="44"/>
      <c r="P660" s="44"/>
      <c r="Q660" s="45"/>
      <c r="R660" s="47"/>
      <c r="S660" s="47"/>
      <c r="T660" s="47"/>
      <c r="U660" s="47"/>
      <c r="V660" s="43"/>
      <c r="W660" s="86"/>
      <c r="X660" s="46"/>
    </row>
    <row r="661" spans="1:27" ht="12.75" x14ac:dyDescent="0.2">
      <c r="A661" s="82" t="s">
        <v>46</v>
      </c>
      <c r="B661" s="38">
        <v>0</v>
      </c>
      <c r="C661" s="38">
        <v>138358.79999999999</v>
      </c>
      <c r="D661" s="38">
        <v>197311.68</v>
      </c>
      <c r="E661" s="38">
        <v>245887.65</v>
      </c>
      <c r="F661" s="38">
        <v>156706.38</v>
      </c>
      <c r="G661" s="39">
        <f>SUM(B661:F661)</f>
        <v>738264.51</v>
      </c>
      <c r="H661" s="38">
        <v>196080.32</v>
      </c>
      <c r="I661" s="38">
        <v>94253.82</v>
      </c>
      <c r="J661" s="38">
        <v>60544.25</v>
      </c>
      <c r="K661" s="38">
        <v>58882.19</v>
      </c>
      <c r="L661" s="38">
        <v>123288.22</v>
      </c>
      <c r="M661" s="38">
        <v>0</v>
      </c>
      <c r="N661" s="38">
        <v>0</v>
      </c>
      <c r="O661" s="38">
        <v>34564.800000000003</v>
      </c>
      <c r="P661" s="38">
        <v>0</v>
      </c>
      <c r="Q661" s="39">
        <f>SUM(H661:P661)</f>
        <v>567613.60000000009</v>
      </c>
      <c r="R661" s="39">
        <v>266986.87</v>
      </c>
      <c r="S661" s="39">
        <v>403116.4</v>
      </c>
      <c r="T661" s="39">
        <v>8746.93</v>
      </c>
      <c r="U661" s="39">
        <v>42080.639999999999</v>
      </c>
      <c r="V661" s="38">
        <v>96.26</v>
      </c>
      <c r="W661" s="83">
        <f>Q661+G661+R661+S661+T661+U661+V661</f>
        <v>2026905.2099999997</v>
      </c>
      <c r="X661" s="41"/>
      <c r="Z661" s="220"/>
    </row>
    <row r="662" spans="1:27" ht="12.75" x14ac:dyDescent="0.2">
      <c r="A662" s="82" t="s">
        <v>42</v>
      </c>
      <c r="B662" s="141">
        <f t="shared" ref="B662:W662" si="184">B659+B661-B613</f>
        <v>124072.52000000002</v>
      </c>
      <c r="C662" s="141">
        <f t="shared" si="184"/>
        <v>761329.85999999987</v>
      </c>
      <c r="D662" s="141">
        <f t="shared" si="184"/>
        <v>3053320.3200000003</v>
      </c>
      <c r="E662" s="141">
        <f t="shared" si="184"/>
        <v>3032170.7499999995</v>
      </c>
      <c r="F662" s="141">
        <f t="shared" si="184"/>
        <v>1429589.7799999996</v>
      </c>
      <c r="G662" s="39">
        <f t="shared" si="184"/>
        <v>8400483.2300000023</v>
      </c>
      <c r="H662" s="141">
        <f t="shared" si="184"/>
        <v>2984233.94</v>
      </c>
      <c r="I662" s="141">
        <f t="shared" si="184"/>
        <v>1823907.9900000002</v>
      </c>
      <c r="J662" s="141">
        <f t="shared" si="184"/>
        <v>526763.17000000039</v>
      </c>
      <c r="K662" s="141">
        <f t="shared" si="184"/>
        <v>485929.67000000016</v>
      </c>
      <c r="L662" s="141">
        <f t="shared" si="184"/>
        <v>1619000.8900000004</v>
      </c>
      <c r="M662" s="141">
        <f t="shared" si="184"/>
        <v>107360.85000000038</v>
      </c>
      <c r="N662" s="141">
        <f t="shared" si="184"/>
        <v>1.2005330063402653E-10</v>
      </c>
      <c r="O662" s="141">
        <f t="shared" si="184"/>
        <v>746757.41999999946</v>
      </c>
      <c r="P662" s="141">
        <f t="shared" si="184"/>
        <v>151351.06000000017</v>
      </c>
      <c r="Q662" s="39">
        <f t="shared" si="184"/>
        <v>8445304.9899999946</v>
      </c>
      <c r="R662" s="39">
        <f t="shared" si="184"/>
        <v>4743564.2000000011</v>
      </c>
      <c r="S662" s="39">
        <f>S659+S661-S613</f>
        <v>1075916.96</v>
      </c>
      <c r="T662" s="39">
        <f t="shared" si="184"/>
        <v>94313.540000000052</v>
      </c>
      <c r="U662" s="39">
        <f t="shared" si="184"/>
        <v>223651.80000000005</v>
      </c>
      <c r="V662" s="39">
        <f t="shared" si="184"/>
        <v>5889.6100000000006</v>
      </c>
      <c r="W662" s="140">
        <f t="shared" si="184"/>
        <v>22989124.330000006</v>
      </c>
      <c r="X662" s="41">
        <f>W661+X659</f>
        <v>348640702.40999985</v>
      </c>
    </row>
    <row r="663" spans="1:27" ht="12.75" x14ac:dyDescent="0.2">
      <c r="A663" s="85"/>
      <c r="B663" s="44"/>
      <c r="C663" s="44"/>
      <c r="D663" s="44"/>
      <c r="E663" s="44"/>
      <c r="F663" s="44"/>
      <c r="G663" s="45"/>
      <c r="H663" s="44"/>
      <c r="I663" s="44"/>
      <c r="J663" s="44"/>
      <c r="K663" s="44"/>
      <c r="L663" s="44"/>
      <c r="M663" s="44"/>
      <c r="N663" s="44"/>
      <c r="O663" s="44"/>
      <c r="P663" s="44"/>
      <c r="Q663" s="45"/>
      <c r="R663" s="47"/>
      <c r="S663" s="47"/>
      <c r="T663" s="47"/>
      <c r="U663" s="47"/>
      <c r="V663" s="43"/>
      <c r="W663" s="86"/>
      <c r="X663" s="46"/>
    </row>
    <row r="664" spans="1:27" ht="12.75" x14ac:dyDescent="0.2">
      <c r="A664" s="82" t="s">
        <v>47</v>
      </c>
      <c r="B664" s="38">
        <v>0</v>
      </c>
      <c r="C664" s="38">
        <v>121214.34</v>
      </c>
      <c r="D664" s="38">
        <v>212350.68</v>
      </c>
      <c r="E664" s="38">
        <v>245887.65</v>
      </c>
      <c r="F664" s="38">
        <v>130839.3</v>
      </c>
      <c r="G664" s="39">
        <f>SUM(B664:F664)</f>
        <v>710291.97000000009</v>
      </c>
      <c r="H664" s="38">
        <v>209322.91</v>
      </c>
      <c r="I664" s="38">
        <v>89566.95</v>
      </c>
      <c r="J664" s="38">
        <v>60609.78</v>
      </c>
      <c r="K664" s="38">
        <v>52193.75</v>
      </c>
      <c r="L664" s="38">
        <v>138371.63</v>
      </c>
      <c r="M664" s="38">
        <v>28842.45</v>
      </c>
      <c r="N664" s="38">
        <v>0</v>
      </c>
      <c r="O664" s="38">
        <v>150987.39000000001</v>
      </c>
      <c r="P664" s="38">
        <v>0</v>
      </c>
      <c r="Q664" s="39">
        <f>SUM(H664:P664)</f>
        <v>729894.86</v>
      </c>
      <c r="R664" s="39">
        <v>395891.46</v>
      </c>
      <c r="S664" s="39">
        <v>251028.9</v>
      </c>
      <c r="T664" s="39">
        <v>7665.54</v>
      </c>
      <c r="U664" s="39">
        <v>84010.49</v>
      </c>
      <c r="V664" s="38">
        <v>0</v>
      </c>
      <c r="W664" s="83">
        <f>Q664+G664+R664+S664+T664+U664+V664</f>
        <v>2178783.2200000002</v>
      </c>
      <c r="X664" s="41"/>
      <c r="Z664" s="220">
        <f>W664-2178783.23</f>
        <v>-9.9999997764825821E-3</v>
      </c>
      <c r="AA664" s="1" t="s">
        <v>168</v>
      </c>
    </row>
    <row r="665" spans="1:27" ht="12.75" x14ac:dyDescent="0.2">
      <c r="A665" s="82" t="s">
        <v>42</v>
      </c>
      <c r="B665" s="141">
        <f t="shared" ref="B665:V665" si="185">B662+B664-B616</f>
        <v>105997.21000000002</v>
      </c>
      <c r="C665" s="141">
        <f t="shared" si="185"/>
        <v>865249.91999999981</v>
      </c>
      <c r="D665" s="141">
        <f t="shared" si="185"/>
        <v>2991194.0400000005</v>
      </c>
      <c r="E665" s="141">
        <f t="shared" si="185"/>
        <v>3021991.4799999995</v>
      </c>
      <c r="F665" s="141">
        <f t="shared" si="185"/>
        <v>1449968.8399999996</v>
      </c>
      <c r="G665" s="39">
        <f t="shared" si="185"/>
        <v>8434401.4900000021</v>
      </c>
      <c r="H665" s="141">
        <f t="shared" si="185"/>
        <v>2861862.58</v>
      </c>
      <c r="I665" s="141">
        <f t="shared" si="185"/>
        <v>1706603.11</v>
      </c>
      <c r="J665" s="141">
        <f t="shared" si="185"/>
        <v>577385.69000000041</v>
      </c>
      <c r="K665" s="141">
        <f t="shared" si="185"/>
        <v>532211.8600000001</v>
      </c>
      <c r="L665" s="141">
        <f t="shared" si="185"/>
        <v>1494325.1800000004</v>
      </c>
      <c r="M665" s="141">
        <f t="shared" si="185"/>
        <v>103390.6900000004</v>
      </c>
      <c r="N665" s="141">
        <f t="shared" si="185"/>
        <v>1.2005330063402653E-10</v>
      </c>
      <c r="O665" s="141">
        <f t="shared" si="185"/>
        <v>730915.30999999947</v>
      </c>
      <c r="P665" s="141">
        <f t="shared" si="185"/>
        <v>146292.56000000017</v>
      </c>
      <c r="Q665" s="39">
        <f t="shared" si="185"/>
        <v>8152986.9799999939</v>
      </c>
      <c r="R665" s="39">
        <f t="shared" si="185"/>
        <v>4882560.1900000013</v>
      </c>
      <c r="S665" s="39">
        <f>S662+S664-S616</f>
        <v>1157953.6199999999</v>
      </c>
      <c r="T665" s="39">
        <f t="shared" si="185"/>
        <v>87519.540000000037</v>
      </c>
      <c r="U665" s="39">
        <f t="shared" si="185"/>
        <v>249091.15000000002</v>
      </c>
      <c r="V665" s="39">
        <f t="shared" si="185"/>
        <v>-11123.220000000001</v>
      </c>
      <c r="W665" s="140">
        <f>W662+W664-W616</f>
        <v>22953389.750000004</v>
      </c>
      <c r="X665" s="41">
        <f>W664+X662</f>
        <v>350819485.62999988</v>
      </c>
      <c r="Z665" s="220"/>
    </row>
    <row r="666" spans="1:27" ht="12.75" x14ac:dyDescent="0.2">
      <c r="A666" s="85"/>
      <c r="B666" s="43"/>
      <c r="C666" s="43"/>
      <c r="D666" s="43"/>
      <c r="E666" s="43"/>
      <c r="F666" s="43"/>
      <c r="G666" s="47"/>
      <c r="H666" s="43"/>
      <c r="I666" s="43"/>
      <c r="J666" s="43"/>
      <c r="K666" s="43"/>
      <c r="L666" s="43"/>
      <c r="M666" s="43"/>
      <c r="N666" s="43"/>
      <c r="O666" s="43"/>
      <c r="P666" s="43"/>
      <c r="Q666" s="47"/>
      <c r="R666" s="47"/>
      <c r="S666" s="47"/>
      <c r="T666" s="47"/>
      <c r="U666" s="47"/>
      <c r="V666" s="43"/>
      <c r="W666" s="87"/>
      <c r="X666" s="46"/>
    </row>
    <row r="667" spans="1:27" ht="12.75" x14ac:dyDescent="0.2">
      <c r="A667" s="82" t="s">
        <v>48</v>
      </c>
      <c r="B667" s="38">
        <v>0</v>
      </c>
      <c r="C667" s="38">
        <v>126026.82</v>
      </c>
      <c r="D667" s="38">
        <v>169639.92</v>
      </c>
      <c r="E667" s="38">
        <v>276567.21000000002</v>
      </c>
      <c r="F667" s="38">
        <v>135952.56</v>
      </c>
      <c r="G667" s="39">
        <f>SUM(B667:F667)</f>
        <v>708186.51</v>
      </c>
      <c r="H667" s="38">
        <v>250035.76</v>
      </c>
      <c r="I667" s="38">
        <v>159505.24</v>
      </c>
      <c r="J667" s="38">
        <v>66303.539999999994</v>
      </c>
      <c r="K667" s="38">
        <v>55958.080000000002</v>
      </c>
      <c r="L667" s="38">
        <v>143218.91</v>
      </c>
      <c r="M667" s="38">
        <v>7863.3</v>
      </c>
      <c r="N667" s="38">
        <v>0</v>
      </c>
      <c r="O667" s="38">
        <v>163120.29</v>
      </c>
      <c r="P667" s="38">
        <v>0</v>
      </c>
      <c r="Q667" s="39">
        <f>SUM(H667:P667)</f>
        <v>846005.12000000011</v>
      </c>
      <c r="R667" s="39">
        <v>532432.54</v>
      </c>
      <c r="S667" s="39">
        <v>330507.44</v>
      </c>
      <c r="T667" s="39">
        <v>12753.19</v>
      </c>
      <c r="U667" s="39">
        <v>56874.68</v>
      </c>
      <c r="V667" s="38">
        <v>0</v>
      </c>
      <c r="W667" s="83">
        <f>Q667+G667+R667+S667+T667+U667+V667</f>
        <v>2486759.4800000004</v>
      </c>
      <c r="X667" s="41"/>
      <c r="Z667" s="220">
        <f>W667-2486759.47</f>
        <v>1.0000000242143869E-2</v>
      </c>
      <c r="AA667" s="1" t="s">
        <v>168</v>
      </c>
    </row>
    <row r="668" spans="1:27" ht="12.75" x14ac:dyDescent="0.2">
      <c r="A668" s="82" t="s">
        <v>42</v>
      </c>
      <c r="B668" s="141">
        <f t="shared" ref="B668:W668" si="186">B665+B667-B619</f>
        <v>87921.900000000023</v>
      </c>
      <c r="C668" s="141">
        <f t="shared" si="186"/>
        <v>842322.7799999998</v>
      </c>
      <c r="D668" s="141">
        <f t="shared" si="186"/>
        <v>2919829.8000000003</v>
      </c>
      <c r="E668" s="141">
        <f t="shared" si="186"/>
        <v>3029939.4699999997</v>
      </c>
      <c r="F668" s="141">
        <f t="shared" si="186"/>
        <v>1443104.1199999996</v>
      </c>
      <c r="G668" s="39">
        <f t="shared" si="186"/>
        <v>8323118.0700000022</v>
      </c>
      <c r="H668" s="141">
        <f t="shared" si="186"/>
        <v>2752725.96</v>
      </c>
      <c r="I668" s="141">
        <f t="shared" si="186"/>
        <v>1636762.98</v>
      </c>
      <c r="J668" s="141">
        <f t="shared" si="186"/>
        <v>536894.96000000043</v>
      </c>
      <c r="K668" s="141">
        <f t="shared" si="186"/>
        <v>489429.50000000006</v>
      </c>
      <c r="L668" s="141">
        <f t="shared" si="186"/>
        <v>1427565.2900000003</v>
      </c>
      <c r="M668" s="141">
        <f t="shared" si="186"/>
        <v>79195.620000000403</v>
      </c>
      <c r="N668" s="141">
        <f t="shared" si="186"/>
        <v>1.2005330063402653E-10</v>
      </c>
      <c r="O668" s="141">
        <f t="shared" si="186"/>
        <v>680696.11999999953</v>
      </c>
      <c r="P668" s="141">
        <f t="shared" si="186"/>
        <v>52466.130000000179</v>
      </c>
      <c r="Q668" s="39">
        <f t="shared" si="186"/>
        <v>7655736.559999994</v>
      </c>
      <c r="R668" s="39">
        <f t="shared" si="186"/>
        <v>4888986.4200000018</v>
      </c>
      <c r="S668" s="39">
        <f t="shared" si="186"/>
        <v>1250634.0999999999</v>
      </c>
      <c r="T668" s="39">
        <f t="shared" si="186"/>
        <v>77117.120000000039</v>
      </c>
      <c r="U668" s="39">
        <f t="shared" si="186"/>
        <v>262874.04000000004</v>
      </c>
      <c r="V668" s="39">
        <f t="shared" si="186"/>
        <v>-2681.3200000000015</v>
      </c>
      <c r="W668" s="140">
        <f t="shared" si="186"/>
        <v>22455784.990000006</v>
      </c>
      <c r="X668" s="41">
        <f>W667+X665</f>
        <v>353306245.1099999</v>
      </c>
    </row>
    <row r="669" spans="1:27" ht="12.75" x14ac:dyDescent="0.2">
      <c r="A669" s="85"/>
      <c r="B669" s="44"/>
      <c r="C669" s="44"/>
      <c r="D669" s="44"/>
      <c r="E669" s="44"/>
      <c r="F669" s="44"/>
      <c r="G669" s="45"/>
      <c r="H669" s="44"/>
      <c r="I669" s="44"/>
      <c r="J669" s="44"/>
      <c r="K669" s="44"/>
      <c r="L669" s="44"/>
      <c r="M669" s="44"/>
      <c r="N669" s="44"/>
      <c r="O669" s="44"/>
      <c r="P669" s="44"/>
      <c r="Q669" s="45"/>
      <c r="R669" s="47"/>
      <c r="S669" s="47"/>
      <c r="T669" s="47"/>
      <c r="U669" s="47"/>
      <c r="V669" s="43"/>
      <c r="W669" s="86"/>
      <c r="X669" s="46"/>
    </row>
    <row r="670" spans="1:27" ht="12.75" x14ac:dyDescent="0.2">
      <c r="A670" s="82" t="s">
        <v>49</v>
      </c>
      <c r="B670" s="38">
        <v>0</v>
      </c>
      <c r="C670" s="38">
        <v>118507.32</v>
      </c>
      <c r="D670" s="38">
        <v>196710.12</v>
      </c>
      <c r="E670" s="38">
        <v>320781.87</v>
      </c>
      <c r="F670" s="38">
        <v>150690.78</v>
      </c>
      <c r="G670" s="39">
        <f>SUM(B670:F670)</f>
        <v>786690.09000000008</v>
      </c>
      <c r="H670" s="38">
        <v>231222.24</v>
      </c>
      <c r="I670" s="38">
        <v>26316.77</v>
      </c>
      <c r="J670" s="38">
        <v>52900.99</v>
      </c>
      <c r="K670" s="38">
        <v>48738.65</v>
      </c>
      <c r="L670" s="38">
        <v>150802.43</v>
      </c>
      <c r="M670" s="38">
        <v>32204.59</v>
      </c>
      <c r="N670" s="38">
        <v>0</v>
      </c>
      <c r="O670" s="38">
        <v>181129.63</v>
      </c>
      <c r="P670" s="38">
        <v>0</v>
      </c>
      <c r="Q670" s="39">
        <f>SUM(H670:P670)</f>
        <v>723315.3</v>
      </c>
      <c r="R670" s="39">
        <v>487588.35</v>
      </c>
      <c r="S670" s="39">
        <v>359368.34</v>
      </c>
      <c r="T670" s="39">
        <v>7825.14</v>
      </c>
      <c r="U670" s="39">
        <v>63078.89</v>
      </c>
      <c r="V670" s="38">
        <v>0</v>
      </c>
      <c r="W670" s="83">
        <f>Q670+G670+R670+S670+T670+U670+V670</f>
        <v>2427866.1100000003</v>
      </c>
      <c r="X670" s="41"/>
    </row>
    <row r="671" spans="1:27" ht="12.75" x14ac:dyDescent="0.2">
      <c r="A671" s="82" t="s">
        <v>42</v>
      </c>
      <c r="B671" s="141">
        <f t="shared" ref="B671:W671" si="187">B668+B670-B622</f>
        <v>64490.940000000024</v>
      </c>
      <c r="C671" s="141">
        <f t="shared" si="187"/>
        <v>817175.99999999988</v>
      </c>
      <c r="D671" s="141">
        <f t="shared" si="187"/>
        <v>2863820.2800000003</v>
      </c>
      <c r="E671" s="141">
        <f t="shared" si="187"/>
        <v>3073733.92</v>
      </c>
      <c r="F671" s="141">
        <f t="shared" si="187"/>
        <v>1447351.3999999997</v>
      </c>
      <c r="G671" s="39">
        <f t="shared" si="187"/>
        <v>8266572.5400000019</v>
      </c>
      <c r="H671" s="141">
        <f t="shared" si="187"/>
        <v>2602970.27</v>
      </c>
      <c r="I671" s="141">
        <f t="shared" si="187"/>
        <v>1454318.44</v>
      </c>
      <c r="J671" s="141">
        <f t="shared" si="187"/>
        <v>486279.25000000041</v>
      </c>
      <c r="K671" s="141">
        <f t="shared" si="187"/>
        <v>442904.08</v>
      </c>
      <c r="L671" s="141">
        <f t="shared" si="187"/>
        <v>1390325.6300000001</v>
      </c>
      <c r="M671" s="141">
        <f t="shared" si="187"/>
        <v>83707.510000000402</v>
      </c>
      <c r="N671" s="141">
        <f t="shared" si="187"/>
        <v>1.2005330063402653E-10</v>
      </c>
      <c r="O671" s="141">
        <f t="shared" si="187"/>
        <v>789483.75999999954</v>
      </c>
      <c r="P671" s="141">
        <f t="shared" si="187"/>
        <v>39564.970000000176</v>
      </c>
      <c r="Q671" s="39">
        <f t="shared" si="187"/>
        <v>7289553.9099999936</v>
      </c>
      <c r="R671" s="39">
        <f t="shared" si="187"/>
        <v>4932183.4600000018</v>
      </c>
      <c r="S671" s="39">
        <f t="shared" si="187"/>
        <v>1606151.88</v>
      </c>
      <c r="T671" s="39">
        <f t="shared" si="187"/>
        <v>71759.320000000036</v>
      </c>
      <c r="U671" s="39">
        <f t="shared" si="187"/>
        <v>276994.00000000006</v>
      </c>
      <c r="V671" s="39">
        <f t="shared" si="187"/>
        <v>-1924.3600000000015</v>
      </c>
      <c r="W671" s="140">
        <f t="shared" si="187"/>
        <v>22441290.750000004</v>
      </c>
      <c r="X671" s="41">
        <f>W670+X668</f>
        <v>355734111.21999991</v>
      </c>
    </row>
    <row r="672" spans="1:27" ht="12.75" x14ac:dyDescent="0.2">
      <c r="A672" s="85"/>
      <c r="B672" s="43"/>
      <c r="C672" s="43"/>
      <c r="D672" s="43"/>
      <c r="E672" s="43"/>
      <c r="F672" s="43"/>
      <c r="G672" s="47"/>
      <c r="H672" s="43"/>
      <c r="I672" s="43"/>
      <c r="J672" s="43"/>
      <c r="K672" s="43"/>
      <c r="L672" s="43"/>
      <c r="M672" s="43"/>
      <c r="N672" s="43"/>
      <c r="O672" s="43"/>
      <c r="P672" s="43"/>
      <c r="Q672" s="47"/>
      <c r="R672" s="47"/>
      <c r="S672" s="47"/>
      <c r="T672" s="47"/>
      <c r="U672" s="47"/>
      <c r="V672" s="43"/>
      <c r="W672" s="87"/>
      <c r="X672" s="46"/>
    </row>
    <row r="673" spans="1:24" ht="12.75" x14ac:dyDescent="0.2">
      <c r="A673" s="82" t="s">
        <v>50</v>
      </c>
      <c r="B673" s="38">
        <v>0</v>
      </c>
      <c r="C673" s="38">
        <v>69179.399999999994</v>
      </c>
      <c r="D673" s="38">
        <v>267694.2</v>
      </c>
      <c r="E673" s="38">
        <v>291004.65000000002</v>
      </c>
      <c r="F673" s="38">
        <v>146179.07999999999</v>
      </c>
      <c r="G673" s="39">
        <f>SUM(B673:F673)</f>
        <v>774057.33</v>
      </c>
      <c r="H673" s="38">
        <v>251120.19</v>
      </c>
      <c r="I673" s="38">
        <v>69380.47</v>
      </c>
      <c r="J673" s="38">
        <v>47370.34</v>
      </c>
      <c r="K673" s="38">
        <v>46352.79</v>
      </c>
      <c r="L673" s="38">
        <v>163852.84</v>
      </c>
      <c r="M673" s="38">
        <v>34447.74</v>
      </c>
      <c r="N673" s="38">
        <v>0</v>
      </c>
      <c r="O673" s="38">
        <v>153678.26999999999</v>
      </c>
      <c r="P673" s="38">
        <v>0</v>
      </c>
      <c r="Q673" s="39">
        <f>SUM(H673:P673)</f>
        <v>766202.64</v>
      </c>
      <c r="R673" s="39">
        <v>467091.69</v>
      </c>
      <c r="S673" s="39">
        <v>222315.12</v>
      </c>
      <c r="T673" s="39">
        <v>11573.28</v>
      </c>
      <c r="U673" s="39">
        <v>134522.49</v>
      </c>
      <c r="V673" s="39">
        <v>0</v>
      </c>
      <c r="W673" s="83">
        <f>Q673+G673+R673+S673+T673+U673+V673</f>
        <v>2375762.5499999998</v>
      </c>
      <c r="X673" s="41"/>
    </row>
    <row r="674" spans="1:24" ht="12.75" x14ac:dyDescent="0.2">
      <c r="A674" s="82" t="s">
        <v>42</v>
      </c>
      <c r="B674" s="141">
        <f t="shared" ref="B674:W674" si="188">B671+B673-B625</f>
        <v>44853.560000000027</v>
      </c>
      <c r="C674" s="141">
        <f t="shared" si="188"/>
        <v>797652.47999999986</v>
      </c>
      <c r="D674" s="141">
        <f t="shared" si="188"/>
        <v>2864847.8400000003</v>
      </c>
      <c r="E674" s="141">
        <f t="shared" si="188"/>
        <v>3115366.21</v>
      </c>
      <c r="F674" s="141">
        <f t="shared" si="188"/>
        <v>1478886.1399999997</v>
      </c>
      <c r="G674" s="39">
        <f t="shared" si="188"/>
        <v>8301606.2300000014</v>
      </c>
      <c r="H674" s="141">
        <f t="shared" si="188"/>
        <v>2472141.1</v>
      </c>
      <c r="I674" s="141">
        <f t="shared" si="188"/>
        <v>1287117.99</v>
      </c>
      <c r="J674" s="141">
        <f t="shared" si="188"/>
        <v>437797.77000000043</v>
      </c>
      <c r="K674" s="141">
        <f t="shared" si="188"/>
        <v>387036.14</v>
      </c>
      <c r="L674" s="141">
        <f t="shared" si="188"/>
        <v>1350511.85</v>
      </c>
      <c r="M674" s="141">
        <f t="shared" si="188"/>
        <v>106808.14000000041</v>
      </c>
      <c r="N674" s="141">
        <f t="shared" si="188"/>
        <v>1.2005330063402653E-10</v>
      </c>
      <c r="O674" s="141">
        <f t="shared" si="188"/>
        <v>914496.93999999959</v>
      </c>
      <c r="P674" s="141">
        <f t="shared" si="188"/>
        <v>39564.970000000176</v>
      </c>
      <c r="Q674" s="39">
        <f t="shared" si="188"/>
        <v>6995474.8999999929</v>
      </c>
      <c r="R674" s="39">
        <f t="shared" si="188"/>
        <v>4992513.2200000025</v>
      </c>
      <c r="S674" s="39">
        <f t="shared" si="188"/>
        <v>1828467</v>
      </c>
      <c r="T674" s="39">
        <f t="shared" si="188"/>
        <v>71343.850000000035</v>
      </c>
      <c r="U674" s="39">
        <f t="shared" si="188"/>
        <v>410785.88000000006</v>
      </c>
      <c r="V674" s="39">
        <f t="shared" si="188"/>
        <v>-1924.3600000000015</v>
      </c>
      <c r="W674" s="140">
        <f t="shared" si="188"/>
        <v>22598266.720000006</v>
      </c>
      <c r="X674" s="41">
        <f>W673+X671</f>
        <v>358109873.76999992</v>
      </c>
    </row>
    <row r="675" spans="1:24" ht="12.75" x14ac:dyDescent="0.2">
      <c r="A675" s="85"/>
      <c r="B675" s="43"/>
      <c r="C675" s="43"/>
      <c r="D675" s="43"/>
      <c r="E675" s="43"/>
      <c r="F675" s="43"/>
      <c r="G675" s="47"/>
      <c r="H675" s="43"/>
      <c r="I675" s="43"/>
      <c r="J675" s="43"/>
      <c r="K675" s="43"/>
      <c r="L675" s="43"/>
      <c r="M675" s="43"/>
      <c r="N675" s="43"/>
      <c r="O675" s="43"/>
      <c r="P675" s="43"/>
      <c r="Q675" s="47"/>
      <c r="R675" s="47"/>
      <c r="S675" s="47"/>
      <c r="T675" s="47"/>
      <c r="U675" s="47"/>
      <c r="V675" s="43"/>
      <c r="W675" s="87"/>
      <c r="X675" s="46"/>
    </row>
    <row r="676" spans="1:24" ht="12.75" x14ac:dyDescent="0.2">
      <c r="A676" s="82" t="s">
        <v>51</v>
      </c>
      <c r="B676" s="38">
        <v>0</v>
      </c>
      <c r="C676" s="38">
        <v>0</v>
      </c>
      <c r="D676" s="38">
        <v>270100.44</v>
      </c>
      <c r="E676" s="38">
        <v>309051.45</v>
      </c>
      <c r="F676" s="38">
        <v>120612.78</v>
      </c>
      <c r="G676" s="39">
        <f>SUM(B676:F676)</f>
        <v>699764.67</v>
      </c>
      <c r="H676" s="38">
        <v>192049.43</v>
      </c>
      <c r="I676" s="38">
        <v>118131.63</v>
      </c>
      <c r="J676" s="38">
        <v>17031.349999999999</v>
      </c>
      <c r="K676" s="38">
        <v>17406.43</v>
      </c>
      <c r="L676" s="38">
        <v>108802.44</v>
      </c>
      <c r="M676" s="38">
        <v>10039.299999999999</v>
      </c>
      <c r="N676" s="38">
        <v>0</v>
      </c>
      <c r="O676" s="38">
        <v>45872.49</v>
      </c>
      <c r="P676" s="38">
        <v>0</v>
      </c>
      <c r="Q676" s="39">
        <f>SUM(H676:P676)</f>
        <v>509333.06999999995</v>
      </c>
      <c r="R676" s="39">
        <v>401486.54</v>
      </c>
      <c r="S676" s="39">
        <v>206684.34</v>
      </c>
      <c r="T676" s="39">
        <v>9379.7099999999991</v>
      </c>
      <c r="U676" s="39">
        <v>49420.34</v>
      </c>
      <c r="V676" s="38">
        <v>0</v>
      </c>
      <c r="W676" s="83">
        <f>Q676+G676+R676+S676+T676+U676+V676</f>
        <v>1876068.6700000002</v>
      </c>
      <c r="X676" s="41"/>
    </row>
    <row r="677" spans="1:24" ht="12.75" x14ac:dyDescent="0.2">
      <c r="A677" s="82" t="s">
        <v>42</v>
      </c>
      <c r="B677" s="141">
        <f t="shared" ref="B677:W677" si="189">B674+B676-B628</f>
        <v>31687.590000000026</v>
      </c>
      <c r="C677" s="141">
        <f t="shared" si="189"/>
        <v>775337.27999999991</v>
      </c>
      <c r="D677" s="141">
        <f t="shared" si="189"/>
        <v>2897849.2800000003</v>
      </c>
      <c r="E677" s="141">
        <f t="shared" si="189"/>
        <v>3206007.64</v>
      </c>
      <c r="F677" s="141">
        <f t="shared" si="189"/>
        <v>1480670.4799999997</v>
      </c>
      <c r="G677" s="39">
        <f t="shared" si="189"/>
        <v>8391552.2700000033</v>
      </c>
      <c r="H677" s="141">
        <f t="shared" si="189"/>
        <v>2467866.7400000002</v>
      </c>
      <c r="I677" s="141">
        <f t="shared" si="189"/>
        <v>1273023.7600000002</v>
      </c>
      <c r="J677" s="141">
        <f t="shared" si="189"/>
        <v>436286.94000000041</v>
      </c>
      <c r="K677" s="141">
        <f t="shared" si="189"/>
        <v>395873.3</v>
      </c>
      <c r="L677" s="141">
        <f t="shared" si="189"/>
        <v>1356521.25</v>
      </c>
      <c r="M677" s="141">
        <f t="shared" si="189"/>
        <v>116847.44000000041</v>
      </c>
      <c r="N677" s="141">
        <f t="shared" si="189"/>
        <v>1.2005330063402653E-10</v>
      </c>
      <c r="O677" s="141">
        <f t="shared" si="189"/>
        <v>923961.18999999959</v>
      </c>
      <c r="P677" s="141">
        <f t="shared" si="189"/>
        <v>39564.970000000176</v>
      </c>
      <c r="Q677" s="39">
        <f t="shared" si="189"/>
        <v>7009945.5899999933</v>
      </c>
      <c r="R677" s="39">
        <f t="shared" si="189"/>
        <v>5017352.2400000021</v>
      </c>
      <c r="S677" s="39">
        <f t="shared" si="189"/>
        <v>2014117.74</v>
      </c>
      <c r="T677" s="39">
        <f t="shared" si="189"/>
        <v>74206.070000000022</v>
      </c>
      <c r="U677" s="39">
        <f t="shared" si="189"/>
        <v>460206.22000000009</v>
      </c>
      <c r="V677" s="39">
        <f t="shared" si="189"/>
        <v>5089.3999999999978</v>
      </c>
      <c r="W677" s="140">
        <f t="shared" si="189"/>
        <v>22972469.530000009</v>
      </c>
      <c r="X677" s="41">
        <f>W676+X674</f>
        <v>359985942.43999994</v>
      </c>
    </row>
    <row r="678" spans="1:24" ht="12.75" x14ac:dyDescent="0.2">
      <c r="A678" s="85"/>
      <c r="B678" s="44"/>
      <c r="C678" s="44"/>
      <c r="D678" s="44"/>
      <c r="E678" s="44"/>
      <c r="F678" s="44"/>
      <c r="G678" s="45"/>
      <c r="H678" s="44"/>
      <c r="I678" s="44"/>
      <c r="J678" s="44"/>
      <c r="K678" s="44"/>
      <c r="L678" s="44"/>
      <c r="M678" s="44"/>
      <c r="N678" s="44"/>
      <c r="O678" s="44"/>
      <c r="P678" s="44"/>
      <c r="Q678" s="45"/>
      <c r="R678" s="47"/>
      <c r="S678" s="47"/>
      <c r="T678" s="47"/>
      <c r="U678" s="47"/>
      <c r="V678" s="43"/>
      <c r="W678" s="86"/>
      <c r="X678" s="46"/>
    </row>
    <row r="679" spans="1:24" ht="12.75" x14ac:dyDescent="0.2">
      <c r="A679" s="82" t="s">
        <v>52</v>
      </c>
      <c r="B679" s="38">
        <v>0</v>
      </c>
      <c r="C679" s="38">
        <v>4301.1499999999996</v>
      </c>
      <c r="D679" s="38">
        <v>237992.18</v>
      </c>
      <c r="E679" s="38">
        <v>266917.19</v>
      </c>
      <c r="F679" s="38">
        <v>112566.92</v>
      </c>
      <c r="G679" s="39">
        <f>SUM(B679:F679)</f>
        <v>621777.44000000006</v>
      </c>
      <c r="H679" s="38">
        <v>177242.51</v>
      </c>
      <c r="I679" s="38">
        <v>111614.95</v>
      </c>
      <c r="J679" s="38">
        <v>13951.04</v>
      </c>
      <c r="K679" s="38">
        <v>15123.22</v>
      </c>
      <c r="L679" s="38">
        <v>115888.24</v>
      </c>
      <c r="M679" s="38">
        <v>8929.7900000000009</v>
      </c>
      <c r="N679" s="38">
        <v>0</v>
      </c>
      <c r="O679" s="38">
        <v>14842.12</v>
      </c>
      <c r="P679" s="38">
        <v>0</v>
      </c>
      <c r="Q679" s="39">
        <f>SUM(H679:P679)</f>
        <v>457591.86999999994</v>
      </c>
      <c r="R679" s="39">
        <v>539668.5</v>
      </c>
      <c r="S679" s="39">
        <v>0</v>
      </c>
      <c r="T679" s="39">
        <v>10848.33</v>
      </c>
      <c r="U679" s="39">
        <v>0</v>
      </c>
      <c r="V679" s="38">
        <v>0</v>
      </c>
      <c r="W679" s="83">
        <f>Q679+G679+R679+S679+T679+U679+V679</f>
        <v>1629886.1400000001</v>
      </c>
      <c r="X679" s="41"/>
    </row>
    <row r="680" spans="1:24" ht="12.75" x14ac:dyDescent="0.2">
      <c r="A680" s="82" t="s">
        <v>42</v>
      </c>
      <c r="B680" s="141">
        <f t="shared" ref="B680:T680" si="190">B677+B679-B631</f>
        <v>9595.5400000000263</v>
      </c>
      <c r="C680" s="141">
        <f t="shared" si="190"/>
        <v>755649.59</v>
      </c>
      <c r="D680" s="141">
        <f t="shared" si="190"/>
        <v>2898742.4600000004</v>
      </c>
      <c r="E680" s="141">
        <f t="shared" si="190"/>
        <v>3244891.38</v>
      </c>
      <c r="F680" s="141">
        <f t="shared" si="190"/>
        <v>1478593.0599999996</v>
      </c>
      <c r="G680" s="39">
        <f t="shared" si="190"/>
        <v>8387472.0300000031</v>
      </c>
      <c r="H680" s="141">
        <f t="shared" si="190"/>
        <v>2468470.7999999998</v>
      </c>
      <c r="I680" s="141">
        <f t="shared" si="190"/>
        <v>1245477.8800000001</v>
      </c>
      <c r="J680" s="141">
        <f t="shared" si="190"/>
        <v>429255.15000000037</v>
      </c>
      <c r="K680" s="141">
        <f t="shared" si="190"/>
        <v>392259.64999999997</v>
      </c>
      <c r="L680" s="141">
        <f t="shared" si="190"/>
        <v>1437756.49</v>
      </c>
      <c r="M680" s="141">
        <f t="shared" si="190"/>
        <v>125777.23000000042</v>
      </c>
      <c r="N680" s="141">
        <f t="shared" si="190"/>
        <v>1.2005330063402653E-10</v>
      </c>
      <c r="O680" s="141">
        <f t="shared" si="190"/>
        <v>919588.47999999963</v>
      </c>
      <c r="P680" s="141">
        <f t="shared" si="190"/>
        <v>27208.830000000176</v>
      </c>
      <c r="Q680" s="39">
        <f t="shared" si="190"/>
        <v>7045794.5099999933</v>
      </c>
      <c r="R680" s="39">
        <f t="shared" si="190"/>
        <v>5210968.4900000021</v>
      </c>
      <c r="S680" s="39">
        <f t="shared" si="190"/>
        <v>1969015.1</v>
      </c>
      <c r="T680" s="39">
        <f t="shared" si="190"/>
        <v>82296.750000000029</v>
      </c>
      <c r="U680" s="39">
        <f>U677+U679-U631</f>
        <v>451598.56000000011</v>
      </c>
      <c r="V680" s="39">
        <f>V677+V679-V631</f>
        <v>5381.1199999999981</v>
      </c>
      <c r="W680" s="140">
        <f>W677+W679-W631</f>
        <v>23152526.56000001</v>
      </c>
      <c r="X680" s="41">
        <f>W679+X677</f>
        <v>361615828.57999992</v>
      </c>
    </row>
    <row r="681" spans="1:24" ht="12.75" x14ac:dyDescent="0.2">
      <c r="A681" s="85"/>
      <c r="B681" s="43"/>
      <c r="C681" s="43"/>
      <c r="D681" s="43"/>
      <c r="E681" s="43"/>
      <c r="F681" s="43"/>
      <c r="G681" s="47"/>
      <c r="H681" s="43"/>
      <c r="I681" s="43"/>
      <c r="J681" s="43"/>
      <c r="K681" s="43"/>
      <c r="L681" s="43"/>
      <c r="M681" s="43"/>
      <c r="N681" s="43"/>
      <c r="O681" s="43"/>
      <c r="P681" s="43"/>
      <c r="Q681" s="47"/>
      <c r="R681" s="47"/>
      <c r="S681" s="47"/>
      <c r="T681" s="47"/>
      <c r="U681" s="47"/>
      <c r="V681" s="43"/>
      <c r="W681" s="87"/>
      <c r="X681" s="46"/>
    </row>
    <row r="682" spans="1:24" ht="12.75" x14ac:dyDescent="0.2">
      <c r="A682" s="82" t="s">
        <v>53</v>
      </c>
      <c r="B682" s="38">
        <v>0</v>
      </c>
      <c r="C682" s="38">
        <v>88809.31</v>
      </c>
      <c r="D682" s="38">
        <v>251585.88</v>
      </c>
      <c r="E682" s="38">
        <v>287604.58</v>
      </c>
      <c r="F682" s="38">
        <v>93826.32</v>
      </c>
      <c r="G682" s="39">
        <f>SUM(B682:F682)</f>
        <v>721826.09000000008</v>
      </c>
      <c r="H682" s="38">
        <v>186027.98</v>
      </c>
      <c r="I682" s="38">
        <v>120060.2</v>
      </c>
      <c r="J682" s="38">
        <v>44255.86</v>
      </c>
      <c r="K682" s="38">
        <v>45369.19</v>
      </c>
      <c r="L682" s="38">
        <v>97309.78</v>
      </c>
      <c r="M682" s="38">
        <v>5188.8900000000003</v>
      </c>
      <c r="N682" s="38">
        <v>0</v>
      </c>
      <c r="O682" s="38">
        <v>0</v>
      </c>
      <c r="P682" s="38">
        <v>0</v>
      </c>
      <c r="Q682" s="39">
        <f>SUM(H682:P682)</f>
        <v>498211.9</v>
      </c>
      <c r="R682" s="39">
        <v>402899.46</v>
      </c>
      <c r="S682" s="39">
        <v>0</v>
      </c>
      <c r="T682" s="39">
        <v>-5345.24</v>
      </c>
      <c r="U682" s="39">
        <v>0</v>
      </c>
      <c r="V682" s="38">
        <v>0</v>
      </c>
      <c r="W682" s="83">
        <f>Q682+G682+R682+S682+T682+U682+V682</f>
        <v>1617592.2100000002</v>
      </c>
      <c r="X682" s="41"/>
    </row>
    <row r="683" spans="1:24" ht="13.5" thickBot="1" x14ac:dyDescent="0.25">
      <c r="A683" s="88" t="s">
        <v>42</v>
      </c>
      <c r="B683" s="143">
        <f t="shared" ref="B683:U683" si="191">B680+B682-B634</f>
        <v>2.5465851649641991E-11</v>
      </c>
      <c r="C683" s="143">
        <f t="shared" si="191"/>
        <v>844458.89999999991</v>
      </c>
      <c r="D683" s="143">
        <f t="shared" si="191"/>
        <v>2896419.62</v>
      </c>
      <c r="E683" s="143">
        <f t="shared" si="191"/>
        <v>3280039.7399999998</v>
      </c>
      <c r="F683" s="143">
        <f t="shared" si="191"/>
        <v>1529825.2399999998</v>
      </c>
      <c r="G683" s="50">
        <f t="shared" si="191"/>
        <v>8550743.5000000037</v>
      </c>
      <c r="H683" s="143">
        <f t="shared" si="191"/>
        <v>2455244.1199999996</v>
      </c>
      <c r="I683" s="143">
        <f t="shared" si="191"/>
        <v>1218162.4000000001</v>
      </c>
      <c r="J683" s="143">
        <f t="shared" si="191"/>
        <v>468366.46000000037</v>
      </c>
      <c r="K683" s="143">
        <f t="shared" si="191"/>
        <v>430497.16</v>
      </c>
      <c r="L683" s="198">
        <f t="shared" si="191"/>
        <v>1535066.27</v>
      </c>
      <c r="M683" s="143">
        <f t="shared" si="191"/>
        <v>130966.12000000042</v>
      </c>
      <c r="N683" s="143">
        <f t="shared" si="191"/>
        <v>1.2005330063402653E-10</v>
      </c>
      <c r="O683" s="143">
        <f t="shared" si="191"/>
        <v>913122.55999999959</v>
      </c>
      <c r="P683" s="143">
        <f t="shared" si="191"/>
        <v>1.7462298274040222E-10</v>
      </c>
      <c r="Q683" s="50">
        <f t="shared" si="191"/>
        <v>7151425.0899999933</v>
      </c>
      <c r="R683" s="50">
        <f t="shared" si="191"/>
        <v>5125557.7600000016</v>
      </c>
      <c r="S683" s="50">
        <f t="shared" si="191"/>
        <v>1949523.9000000001</v>
      </c>
      <c r="T683" s="50">
        <f t="shared" si="191"/>
        <v>76147.170000000027</v>
      </c>
      <c r="U683" s="50">
        <f t="shared" si="191"/>
        <v>437455.8600000001</v>
      </c>
      <c r="V683" s="50">
        <f>V680+V682</f>
        <v>5381.1199999999981</v>
      </c>
      <c r="W683" s="144">
        <f>W680+W682-W634</f>
        <v>23296234.40000001</v>
      </c>
      <c r="X683" s="51">
        <f>W682+X680</f>
        <v>363233420.7899999</v>
      </c>
    </row>
    <row r="684" spans="1:24" ht="12.75" x14ac:dyDescent="0.2">
      <c r="A684" s="92"/>
      <c r="C684" s="90"/>
      <c r="D684" s="90"/>
      <c r="E684" s="90"/>
      <c r="F684" s="90"/>
      <c r="G684" s="90"/>
      <c r="I684" s="90"/>
      <c r="J684" s="90"/>
      <c r="K684" s="90"/>
      <c r="L684" s="90"/>
      <c r="M684" s="90"/>
      <c r="N684" s="90"/>
      <c r="O684" s="171"/>
      <c r="P684" s="90"/>
      <c r="Q684" s="52" t="s">
        <v>188</v>
      </c>
      <c r="S684" s="52"/>
      <c r="T684" s="52"/>
      <c r="U684" s="52"/>
      <c r="V684" s="52"/>
      <c r="W684" s="90"/>
      <c r="X684" s="91"/>
    </row>
    <row r="685" spans="1:24" ht="12.75" x14ac:dyDescent="0.2">
      <c r="B685" s="1" t="s">
        <v>131</v>
      </c>
      <c r="G685" s="220"/>
      <c r="P685" t="s">
        <v>122</v>
      </c>
      <c r="X685" s="9"/>
    </row>
    <row r="686" spans="1:24" ht="12.75" x14ac:dyDescent="0.2">
      <c r="G686" s="220"/>
      <c r="Q686" s="220"/>
      <c r="R686" s="220"/>
      <c r="S686" s="220"/>
      <c r="T686" s="225" t="s">
        <v>60</v>
      </c>
    </row>
    <row r="687" spans="1:24" ht="12.75" x14ac:dyDescent="0.2">
      <c r="T687" s="225"/>
      <c r="U687" s="225"/>
    </row>
    <row r="688" spans="1:24" ht="27" x14ac:dyDescent="0.35">
      <c r="A688" s="133" t="s">
        <v>172</v>
      </c>
      <c r="B688" s="54"/>
      <c r="C688" s="122"/>
      <c r="D688" s="58"/>
      <c r="E688" s="127"/>
      <c r="F688" s="128"/>
      <c r="G688" s="127"/>
      <c r="H688" s="129"/>
      <c r="I688" s="130"/>
      <c r="J688" s="130"/>
      <c r="K688" s="130"/>
      <c r="L688" s="130"/>
      <c r="M688" s="130"/>
      <c r="N688" s="130"/>
      <c r="O688" s="130"/>
      <c r="P688" s="130"/>
      <c r="Q688" s="130"/>
      <c r="R688" s="128"/>
      <c r="S688" s="128"/>
      <c r="T688" s="128"/>
      <c r="U688" s="128"/>
      <c r="V688" s="128"/>
      <c r="W688" s="130"/>
      <c r="X688" s="131"/>
    </row>
    <row r="689" spans="1:26" ht="15.75" x14ac:dyDescent="0.25">
      <c r="A689" s="136"/>
      <c r="B689" s="170"/>
      <c r="C689" s="54"/>
      <c r="D689" s="53"/>
      <c r="E689" s="53"/>
      <c r="F689" s="132"/>
      <c r="H689" s="55"/>
      <c r="I689" s="55"/>
      <c r="J689" s="54"/>
      <c r="K689" s="56"/>
      <c r="L689" s="57"/>
      <c r="M689" s="54"/>
      <c r="N689" s="54" t="s">
        <v>60</v>
      </c>
      <c r="O689" s="54"/>
      <c r="P689" s="54"/>
      <c r="Q689" s="57"/>
      <c r="R689" s="58"/>
      <c r="S689" s="58"/>
      <c r="T689" s="58"/>
      <c r="U689" s="58"/>
      <c r="V689" s="58"/>
      <c r="W689" s="54"/>
      <c r="X689" s="54"/>
    </row>
    <row r="690" spans="1:26" ht="27" x14ac:dyDescent="0.35">
      <c r="A690" s="134" t="s">
        <v>6</v>
      </c>
      <c r="B690" s="122"/>
      <c r="C690" s="122"/>
      <c r="D690" s="122"/>
      <c r="E690" s="122"/>
      <c r="F690" s="122"/>
      <c r="H690" s="122"/>
      <c r="I690" s="122"/>
      <c r="J690" s="122"/>
      <c r="K690" s="122"/>
      <c r="L690" s="122"/>
      <c r="M690" s="122"/>
      <c r="N690" s="122"/>
      <c r="O690" s="122"/>
      <c r="P690" s="122"/>
      <c r="Q690" s="122"/>
      <c r="R690" s="122"/>
      <c r="S690" s="122"/>
      <c r="T690" s="122"/>
      <c r="U690" s="122"/>
      <c r="V690" s="122"/>
      <c r="W690" s="142"/>
      <c r="X690" s="122"/>
    </row>
    <row r="691" spans="1:26" ht="12" thickBot="1" x14ac:dyDescent="0.25">
      <c r="B691" s="2"/>
      <c r="C691" s="2"/>
      <c r="D691" s="2"/>
      <c r="E691" s="2"/>
      <c r="F691" s="59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 t="s">
        <v>60</v>
      </c>
      <c r="W691" s="2"/>
      <c r="X691" s="57"/>
    </row>
    <row r="692" spans="1:26" x14ac:dyDescent="0.2">
      <c r="A692" s="14"/>
      <c r="B692" s="15"/>
      <c r="C692" s="15"/>
      <c r="D692" s="15"/>
      <c r="E692" s="15"/>
      <c r="F692" s="15"/>
      <c r="G692" s="15"/>
      <c r="H692" s="15"/>
      <c r="I692" s="15"/>
      <c r="J692" s="15"/>
      <c r="K692" s="15"/>
      <c r="L692" s="15"/>
      <c r="M692" s="15"/>
      <c r="N692" s="15"/>
      <c r="O692" s="15"/>
      <c r="P692" s="15"/>
      <c r="Q692" s="15"/>
      <c r="R692" s="16"/>
      <c r="S692" s="16"/>
      <c r="T692" s="16"/>
      <c r="U692" s="16"/>
      <c r="V692" s="16"/>
      <c r="W692" s="15"/>
      <c r="X692" s="60" t="s">
        <v>60</v>
      </c>
    </row>
    <row r="693" spans="1:26" ht="13.5" thickBot="1" x14ac:dyDescent="0.25">
      <c r="A693" s="18"/>
      <c r="B693" s="61"/>
      <c r="C693" s="62"/>
      <c r="D693" s="63" t="s">
        <v>73</v>
      </c>
      <c r="E693" s="64"/>
      <c r="F693" s="64"/>
      <c r="G693" s="250"/>
      <c r="H693" s="61"/>
      <c r="I693" s="64"/>
      <c r="J693" s="64"/>
      <c r="K693" s="65" t="s">
        <v>74</v>
      </c>
      <c r="L693" s="64"/>
      <c r="M693" s="64"/>
      <c r="N693" s="64"/>
      <c r="O693" s="64"/>
      <c r="P693" s="64"/>
      <c r="Q693" s="138"/>
      <c r="R693" s="64"/>
      <c r="S693" s="64"/>
      <c r="T693" s="64"/>
      <c r="U693" s="64"/>
      <c r="V693" s="64"/>
      <c r="W693" s="66"/>
      <c r="X693" s="36" t="s">
        <v>60</v>
      </c>
    </row>
    <row r="694" spans="1:26" ht="12" x14ac:dyDescent="0.2">
      <c r="A694" s="67"/>
      <c r="B694" s="68" t="s">
        <v>11</v>
      </c>
      <c r="C694" s="68" t="s">
        <v>12</v>
      </c>
      <c r="D694" s="68" t="s">
        <v>13</v>
      </c>
      <c r="E694" s="68" t="s">
        <v>14</v>
      </c>
      <c r="F694" s="68" t="s">
        <v>15</v>
      </c>
      <c r="G694" s="69" t="s">
        <v>16</v>
      </c>
      <c r="H694" s="68" t="s">
        <v>17</v>
      </c>
      <c r="I694" s="70"/>
      <c r="J694" s="70"/>
      <c r="K694" s="70"/>
      <c r="L694" s="70"/>
      <c r="M694" s="68" t="s">
        <v>18</v>
      </c>
      <c r="N694" s="68" t="s">
        <v>19</v>
      </c>
      <c r="O694" s="68" t="s">
        <v>20</v>
      </c>
      <c r="P694" s="68" t="s">
        <v>21</v>
      </c>
      <c r="Q694" s="69" t="s">
        <v>16</v>
      </c>
      <c r="R694" s="203" t="s">
        <v>69</v>
      </c>
      <c r="S694" s="202" t="s">
        <v>126</v>
      </c>
      <c r="T694" s="202" t="s">
        <v>138</v>
      </c>
      <c r="U694" s="202" t="s">
        <v>134</v>
      </c>
      <c r="V694" s="202" t="s">
        <v>136</v>
      </c>
      <c r="W694" s="72" t="s">
        <v>7</v>
      </c>
      <c r="X694" s="73" t="s">
        <v>70</v>
      </c>
    </row>
    <row r="695" spans="1:26" ht="12.75" thickBot="1" x14ac:dyDescent="0.25">
      <c r="A695" s="75"/>
      <c r="B695" s="76" t="s">
        <v>23</v>
      </c>
      <c r="C695" s="76" t="s">
        <v>24</v>
      </c>
      <c r="D695" s="76" t="s">
        <v>25</v>
      </c>
      <c r="E695" s="76" t="s">
        <v>26</v>
      </c>
      <c r="F695" s="76" t="s">
        <v>27</v>
      </c>
      <c r="G695" s="77" t="s">
        <v>28</v>
      </c>
      <c r="H695" s="76" t="s">
        <v>29</v>
      </c>
      <c r="I695" s="76" t="s">
        <v>30</v>
      </c>
      <c r="J695" s="76" t="s">
        <v>31</v>
      </c>
      <c r="K695" s="76" t="s">
        <v>32</v>
      </c>
      <c r="L695" s="76" t="s">
        <v>33</v>
      </c>
      <c r="M695" s="76" t="s">
        <v>34</v>
      </c>
      <c r="N695" s="76" t="s">
        <v>35</v>
      </c>
      <c r="O695" s="76" t="s">
        <v>36</v>
      </c>
      <c r="P695" s="76" t="s">
        <v>37</v>
      </c>
      <c r="Q695" s="77" t="s">
        <v>28</v>
      </c>
      <c r="R695" s="204" t="s">
        <v>82</v>
      </c>
      <c r="S695" s="78" t="s">
        <v>130</v>
      </c>
      <c r="T695" s="78" t="s">
        <v>139</v>
      </c>
      <c r="U695" s="78" t="s">
        <v>135</v>
      </c>
      <c r="V695" s="78" t="s">
        <v>137</v>
      </c>
      <c r="W695" s="79" t="s">
        <v>10</v>
      </c>
      <c r="X695" s="80" t="s">
        <v>71</v>
      </c>
    </row>
    <row r="696" spans="1:26" x14ac:dyDescent="0.2">
      <c r="A696" s="18"/>
      <c r="B696" s="33"/>
      <c r="C696" s="33"/>
      <c r="D696" s="33"/>
      <c r="E696" s="33"/>
      <c r="F696" s="33"/>
      <c r="G696" s="34"/>
      <c r="H696" s="33"/>
      <c r="I696" s="33"/>
      <c r="J696" s="33"/>
      <c r="K696" s="33"/>
      <c r="L696" s="33"/>
      <c r="M696" s="33"/>
      <c r="N696" s="33"/>
      <c r="O696" s="33"/>
      <c r="P696" s="33"/>
      <c r="Q696" s="34"/>
      <c r="R696" s="205"/>
      <c r="S696" s="214"/>
      <c r="T696" s="214"/>
      <c r="U696" s="214"/>
      <c r="V696" s="35"/>
      <c r="W696" s="81"/>
      <c r="X696" s="36"/>
    </row>
    <row r="697" spans="1:26" ht="12.75" x14ac:dyDescent="0.2">
      <c r="A697" s="82" t="s">
        <v>41</v>
      </c>
      <c r="B697" s="38">
        <v>0</v>
      </c>
      <c r="C697" s="38">
        <v>0</v>
      </c>
      <c r="D697" s="38">
        <f>(306256.7570254+3392.08)*0+'HYD  ENG'!D790*52.94/1000</f>
        <v>306256.7570254</v>
      </c>
      <c r="E697" s="38">
        <f>(165542.6716628+1833.54)*0+'HYD  ENG'!E790*52.94/1000</f>
        <v>165542.67166279998</v>
      </c>
      <c r="F697" s="38">
        <f>(95546.4974032+1056.87)*0+'HYD  ENG'!F790*52.94/1000</f>
        <v>95546.497403200003</v>
      </c>
      <c r="G697" s="39">
        <f>SUM(B697:F697)</f>
        <v>567345.92609139998</v>
      </c>
      <c r="H697" s="38">
        <v>177815.05</v>
      </c>
      <c r="I697" s="38">
        <v>114321.17</v>
      </c>
      <c r="J697" s="38">
        <v>26315.21</v>
      </c>
      <c r="K697" s="38">
        <v>29675.79</v>
      </c>
      <c r="L697" s="38">
        <v>53759.68</v>
      </c>
      <c r="M697" s="38">
        <v>0</v>
      </c>
      <c r="N697" s="38">
        <v>0</v>
      </c>
      <c r="O697" s="38">
        <v>0</v>
      </c>
      <c r="P697" s="38">
        <v>0</v>
      </c>
      <c r="Q697" s="39">
        <f>SUM(H697:P697)</f>
        <v>401886.89999999997</v>
      </c>
      <c r="R697" s="39">
        <v>244232.43</v>
      </c>
      <c r="S697" s="39">
        <v>0</v>
      </c>
      <c r="T697" s="39">
        <v>0</v>
      </c>
      <c r="U697" s="39">
        <v>0</v>
      </c>
      <c r="V697" s="39">
        <v>2595.75</v>
      </c>
      <c r="W697" s="83">
        <f>Q697+G697+R697+S697+T697+U697+V697</f>
        <v>1216061.0060913998</v>
      </c>
      <c r="X697" s="41"/>
      <c r="Z697" s="246"/>
    </row>
    <row r="698" spans="1:26" ht="12.75" x14ac:dyDescent="0.2">
      <c r="A698" s="82" t="s">
        <v>42</v>
      </c>
      <c r="B698" s="141">
        <f t="shared" ref="B698:W698" si="192">B683+B697-B649</f>
        <v>2.5465851649641991E-11</v>
      </c>
      <c r="C698" s="141">
        <f t="shared" si="192"/>
        <v>844458.89999999991</v>
      </c>
      <c r="D698" s="141">
        <f t="shared" si="192"/>
        <v>2974083.5770254005</v>
      </c>
      <c r="E698" s="141">
        <f t="shared" si="192"/>
        <v>3181196.7916627997</v>
      </c>
      <c r="F698" s="141">
        <f t="shared" si="192"/>
        <v>1494833.2174031998</v>
      </c>
      <c r="G698" s="172">
        <f t="shared" si="192"/>
        <v>8494572.4860914033</v>
      </c>
      <c r="H698" s="141">
        <f t="shared" si="192"/>
        <v>2424686.4199999995</v>
      </c>
      <c r="I698" s="141">
        <f t="shared" si="192"/>
        <v>1189552</v>
      </c>
      <c r="J698" s="141">
        <f t="shared" si="192"/>
        <v>494681.67000000039</v>
      </c>
      <c r="K698" s="141">
        <f t="shared" si="192"/>
        <v>460172.94999999995</v>
      </c>
      <c r="L698" s="141">
        <f t="shared" si="192"/>
        <v>1499861.43</v>
      </c>
      <c r="M698" s="141">
        <f t="shared" si="192"/>
        <v>130966.12000000042</v>
      </c>
      <c r="N698" s="141">
        <f t="shared" si="192"/>
        <v>1.2005330063402653E-10</v>
      </c>
      <c r="O698" s="141">
        <f t="shared" si="192"/>
        <v>878793.60999999964</v>
      </c>
      <c r="P698" s="141">
        <f t="shared" si="192"/>
        <v>1.7462298274040222E-10</v>
      </c>
      <c r="Q698" s="39">
        <f t="shared" si="192"/>
        <v>7078714.1999999937</v>
      </c>
      <c r="R698" s="172">
        <f t="shared" si="192"/>
        <v>4847853.9300000016</v>
      </c>
      <c r="S698" s="172">
        <f t="shared" si="192"/>
        <v>1949523.9000000001</v>
      </c>
      <c r="T698" s="172">
        <f t="shared" si="192"/>
        <v>79380.630000000034</v>
      </c>
      <c r="U698" s="172">
        <f t="shared" si="192"/>
        <v>437455.8600000001</v>
      </c>
      <c r="V698" s="172">
        <f t="shared" si="192"/>
        <v>4486.7099999999982</v>
      </c>
      <c r="W698" s="83">
        <f t="shared" si="192"/>
        <v>22891987.716091409</v>
      </c>
      <c r="X698" s="41">
        <f>X683+W697</f>
        <v>364449481.79609132</v>
      </c>
    </row>
    <row r="699" spans="1:26" ht="12.75" x14ac:dyDescent="0.2">
      <c r="A699" s="85"/>
      <c r="B699" s="38"/>
      <c r="C699" s="38"/>
      <c r="D699" s="38"/>
      <c r="E699" s="38"/>
      <c r="F699" s="38"/>
      <c r="G699" s="39"/>
      <c r="H699" s="38"/>
      <c r="I699" s="38"/>
      <c r="J699" s="38"/>
      <c r="K699" s="38"/>
      <c r="L699" s="38"/>
      <c r="M699" s="38"/>
      <c r="N699" s="38"/>
      <c r="O699" s="38"/>
      <c r="P699" s="38"/>
      <c r="Q699" s="39" t="s">
        <v>60</v>
      </c>
      <c r="R699" s="47"/>
      <c r="S699" s="47"/>
      <c r="T699" s="47"/>
      <c r="U699" s="47"/>
      <c r="V699" s="43"/>
      <c r="W699" s="83"/>
      <c r="X699" s="41"/>
    </row>
    <row r="700" spans="1:26" ht="12.75" x14ac:dyDescent="0.2">
      <c r="A700" s="82" t="s">
        <v>43</v>
      </c>
      <c r="B700" s="38">
        <v>0</v>
      </c>
      <c r="C700" s="38">
        <f>(14584.4120124+524.44)*0+'HYD  ENG'!C793*52.94/1000</f>
        <v>14584.412012400002</v>
      </c>
      <c r="D700" s="38">
        <f>(170443.5064+1887.82)*0+'HYD  ENG'!D793*52.94/1000</f>
        <v>170443.50640000001</v>
      </c>
      <c r="E700" s="38">
        <f>(207804.7356026+2301.63)*0+'HYD  ENG'!E793*52.94/1000</f>
        <v>207804.73560259998</v>
      </c>
      <c r="F700" s="38">
        <f>(125254.9076134+1382.91)*0+'HYD  ENG'!F793*52.94/1000</f>
        <v>125254.90761339998</v>
      </c>
      <c r="G700" s="39">
        <f>SUM(B700:F700)</f>
        <v>518087.56162839994</v>
      </c>
      <c r="H700" s="38">
        <v>98037.02</v>
      </c>
      <c r="I700" s="38">
        <v>64463.89</v>
      </c>
      <c r="J700" s="38">
        <v>10772.92</v>
      </c>
      <c r="K700" s="38">
        <v>11141.47</v>
      </c>
      <c r="L700" s="38">
        <v>140209.47</v>
      </c>
      <c r="M700" s="38">
        <v>0</v>
      </c>
      <c r="N700" s="38">
        <v>0</v>
      </c>
      <c r="O700" s="38">
        <v>0</v>
      </c>
      <c r="P700" s="38">
        <v>0</v>
      </c>
      <c r="Q700" s="39">
        <f>SUM(H700:P700)</f>
        <v>324624.77</v>
      </c>
      <c r="R700" s="39">
        <v>219009.17</v>
      </c>
      <c r="S700" s="39">
        <v>0</v>
      </c>
      <c r="T700" s="39">
        <v>0</v>
      </c>
      <c r="U700" s="39">
        <v>0</v>
      </c>
      <c r="V700" s="39">
        <v>11886.04</v>
      </c>
      <c r="W700" s="83">
        <f>Q700+G700+R700+S700+T700+U700+V700</f>
        <v>1073607.5416283999</v>
      </c>
      <c r="X700" s="41"/>
      <c r="Z700" s="246"/>
    </row>
    <row r="701" spans="1:26" ht="12.75" x14ac:dyDescent="0.2">
      <c r="A701" s="82" t="s">
        <v>42</v>
      </c>
      <c r="B701" s="141">
        <f t="shared" ref="B701:W701" si="193">B698+B700-B652</f>
        <v>2.5465851649641991E-11</v>
      </c>
      <c r="C701" s="141">
        <f t="shared" si="193"/>
        <v>859043.3120123999</v>
      </c>
      <c r="D701" s="141">
        <f t="shared" si="193"/>
        <v>2828708.0834254003</v>
      </c>
      <c r="E701" s="141">
        <f t="shared" si="193"/>
        <v>3166123.5472653997</v>
      </c>
      <c r="F701" s="141">
        <f t="shared" si="193"/>
        <v>1518725.2650165996</v>
      </c>
      <c r="G701" s="39">
        <f t="shared" si="193"/>
        <v>8372600.2077198029</v>
      </c>
      <c r="H701" s="141">
        <f t="shared" si="193"/>
        <v>2351321.3699999996</v>
      </c>
      <c r="I701" s="141">
        <f t="shared" si="193"/>
        <v>1194735.46</v>
      </c>
      <c r="J701" s="141">
        <f t="shared" si="193"/>
        <v>505454.59000000037</v>
      </c>
      <c r="K701" s="141">
        <f t="shared" si="193"/>
        <v>471314.41999999993</v>
      </c>
      <c r="L701" s="141">
        <f t="shared" si="193"/>
        <v>1505747.3699999999</v>
      </c>
      <c r="M701" s="141">
        <f t="shared" si="193"/>
        <v>130966.12000000042</v>
      </c>
      <c r="N701" s="141">
        <f t="shared" si="193"/>
        <v>1.2005330063402653E-10</v>
      </c>
      <c r="O701" s="141">
        <f t="shared" si="193"/>
        <v>824711.30999999959</v>
      </c>
      <c r="P701" s="141">
        <f t="shared" si="193"/>
        <v>1.7462298274040222E-10</v>
      </c>
      <c r="Q701" s="39">
        <f t="shared" si="193"/>
        <v>6984250.6399999931</v>
      </c>
      <c r="R701" s="39">
        <f t="shared" si="193"/>
        <v>4596390.5600000015</v>
      </c>
      <c r="S701" s="39">
        <f t="shared" si="193"/>
        <v>1940366.6</v>
      </c>
      <c r="T701" s="39">
        <f t="shared" si="193"/>
        <v>76108.070000000036</v>
      </c>
      <c r="U701" s="39">
        <f t="shared" si="193"/>
        <v>432328.16000000009</v>
      </c>
      <c r="V701" s="39">
        <f t="shared" si="193"/>
        <v>16372.75</v>
      </c>
      <c r="W701" s="140">
        <f t="shared" si="193"/>
        <v>22418416.987719808</v>
      </c>
      <c r="X701" s="41">
        <f>W700+X698</f>
        <v>365523089.33771974</v>
      </c>
    </row>
    <row r="702" spans="1:26" ht="12.75" x14ac:dyDescent="0.2">
      <c r="A702" s="85"/>
      <c r="B702" s="44"/>
      <c r="C702" s="44"/>
      <c r="D702" s="44"/>
      <c r="E702" s="44"/>
      <c r="F702" s="44"/>
      <c r="G702" s="45"/>
      <c r="H702" s="44"/>
      <c r="I702" s="44"/>
      <c r="J702" s="44"/>
      <c r="K702" s="44"/>
      <c r="L702" s="44"/>
      <c r="M702" s="44"/>
      <c r="N702" s="44"/>
      <c r="O702" s="44"/>
      <c r="P702" s="44"/>
      <c r="Q702" s="45"/>
      <c r="R702" s="47"/>
      <c r="S702" s="47"/>
      <c r="T702" s="47"/>
      <c r="U702" s="47"/>
      <c r="V702" s="43"/>
      <c r="W702" s="86"/>
      <c r="X702" s="46"/>
    </row>
    <row r="703" spans="1:26" ht="12.75" x14ac:dyDescent="0.2">
      <c r="A703" s="82" t="s">
        <v>44</v>
      </c>
      <c r="B703" s="38">
        <v>0</v>
      </c>
      <c r="C703" s="38">
        <v>19726.609738800002</v>
      </c>
      <c r="D703" s="38">
        <v>193608.98260019999</v>
      </c>
      <c r="E703" s="38">
        <v>179652.36804819998</v>
      </c>
      <c r="F703" s="38">
        <v>97419.872477599987</v>
      </c>
      <c r="G703" s="39">
        <f>SUM(B703:F703)</f>
        <v>490407.8328648</v>
      </c>
      <c r="H703" s="38">
        <v>144598.70000000001</v>
      </c>
      <c r="I703" s="38">
        <v>69918.28</v>
      </c>
      <c r="J703" s="38">
        <v>12606.19</v>
      </c>
      <c r="K703" s="38">
        <v>12208.39</v>
      </c>
      <c r="L703" s="38">
        <v>63774.19</v>
      </c>
      <c r="M703" s="38">
        <v>0</v>
      </c>
      <c r="N703" s="38">
        <v>0</v>
      </c>
      <c r="O703" s="38">
        <v>0</v>
      </c>
      <c r="P703" s="38">
        <v>0</v>
      </c>
      <c r="Q703" s="39">
        <f>SUM(H703:P703)</f>
        <v>303105.75</v>
      </c>
      <c r="R703" s="39">
        <v>304610.77</v>
      </c>
      <c r="S703" s="39">
        <v>55051.48</v>
      </c>
      <c r="T703" s="39">
        <v>0</v>
      </c>
      <c r="U703" s="39">
        <v>0</v>
      </c>
      <c r="V703" s="39">
        <v>0</v>
      </c>
      <c r="W703" s="83">
        <f>Q703+G703+R703+S703+T703+U703+V703</f>
        <v>1153175.8328648</v>
      </c>
      <c r="X703" s="41"/>
    </row>
    <row r="704" spans="1:26" ht="12.75" x14ac:dyDescent="0.2">
      <c r="A704" s="82" t="s">
        <v>42</v>
      </c>
      <c r="B704" s="141">
        <f t="shared" ref="B704:W704" si="194">B701+B703-B655</f>
        <v>2.5465851649641991E-11</v>
      </c>
      <c r="C704" s="141">
        <f t="shared" si="194"/>
        <v>799664.78175119986</v>
      </c>
      <c r="D704" s="141">
        <f t="shared" si="194"/>
        <v>2742591.6660256004</v>
      </c>
      <c r="E704" s="141">
        <f t="shared" si="194"/>
        <v>3047101.3753135996</v>
      </c>
      <c r="F704" s="141">
        <f t="shared" si="194"/>
        <v>1491622.2174941995</v>
      </c>
      <c r="G704" s="39">
        <f t="shared" si="194"/>
        <v>8080980.0405846033</v>
      </c>
      <c r="H704" s="141">
        <f t="shared" si="194"/>
        <v>2311276.98</v>
      </c>
      <c r="I704" s="141">
        <f t="shared" si="194"/>
        <v>1140394.55</v>
      </c>
      <c r="J704" s="141">
        <f t="shared" si="194"/>
        <v>463530.36000000039</v>
      </c>
      <c r="K704" s="141">
        <f t="shared" si="194"/>
        <v>451818.78999999992</v>
      </c>
      <c r="L704" s="141">
        <f t="shared" si="194"/>
        <v>1424487.4999999998</v>
      </c>
      <c r="M704" s="141">
        <f t="shared" si="194"/>
        <v>130966.12000000042</v>
      </c>
      <c r="N704" s="141">
        <f t="shared" si="194"/>
        <v>1.2005330063402653E-10</v>
      </c>
      <c r="O704" s="141">
        <f t="shared" si="194"/>
        <v>767305.96999999962</v>
      </c>
      <c r="P704" s="141">
        <f t="shared" si="194"/>
        <v>1.7462298274040222E-10</v>
      </c>
      <c r="Q704" s="39">
        <f t="shared" si="194"/>
        <v>6689780.269999993</v>
      </c>
      <c r="R704" s="39">
        <f t="shared" si="194"/>
        <v>4438217.6100000022</v>
      </c>
      <c r="S704" s="39">
        <f t="shared" si="194"/>
        <v>1995418.08</v>
      </c>
      <c r="T704" s="39">
        <f t="shared" si="194"/>
        <v>69502.72000000003</v>
      </c>
      <c r="U704" s="39">
        <f t="shared" si="194"/>
        <v>432328.16000000009</v>
      </c>
      <c r="V704" s="226">
        <f t="shared" si="194"/>
        <v>16372.75</v>
      </c>
      <c r="W704" s="83">
        <f t="shared" si="194"/>
        <v>21722599.630584605</v>
      </c>
      <c r="X704" s="41">
        <f>W703+X701</f>
        <v>366676265.17058456</v>
      </c>
    </row>
    <row r="705" spans="1:24" ht="12.75" x14ac:dyDescent="0.2">
      <c r="A705" s="85"/>
      <c r="B705" s="43"/>
      <c r="C705" s="43"/>
      <c r="D705" s="43"/>
      <c r="E705" s="43"/>
      <c r="F705" s="43"/>
      <c r="G705" s="47"/>
      <c r="H705" s="43"/>
      <c r="I705" s="43"/>
      <c r="J705" s="43"/>
      <c r="K705" s="43"/>
      <c r="L705" s="43"/>
      <c r="M705" s="43"/>
      <c r="N705" s="43"/>
      <c r="O705" s="43"/>
      <c r="P705" s="43"/>
      <c r="Q705" s="47"/>
      <c r="R705" s="47"/>
      <c r="S705" s="47"/>
      <c r="T705" s="47"/>
      <c r="U705" s="47"/>
      <c r="V705" s="43"/>
      <c r="W705" s="87"/>
      <c r="X705" s="46"/>
    </row>
    <row r="706" spans="1:24" ht="12.75" x14ac:dyDescent="0.2">
      <c r="A706" s="82" t="s">
        <v>45</v>
      </c>
      <c r="B706" s="38">
        <v>0</v>
      </c>
      <c r="C706" s="38">
        <v>135805.69</v>
      </c>
      <c r="D706" s="38">
        <v>297583.33</v>
      </c>
      <c r="E706" s="38">
        <v>197187.89</v>
      </c>
      <c r="F706" s="38">
        <v>131636.25</v>
      </c>
      <c r="G706" s="39">
        <f>SUM(B706:F706)</f>
        <v>762213.16</v>
      </c>
      <c r="H706" s="38">
        <v>195090.54</v>
      </c>
      <c r="I706" s="38">
        <v>123362.54</v>
      </c>
      <c r="J706" s="38">
        <v>59275.54</v>
      </c>
      <c r="K706" s="38">
        <v>59633.03</v>
      </c>
      <c r="L706" s="38">
        <v>2713.85</v>
      </c>
      <c r="M706" s="38">
        <v>14169.94</v>
      </c>
      <c r="N706" s="38">
        <v>0</v>
      </c>
      <c r="O706" s="38">
        <v>0</v>
      </c>
      <c r="P706" s="38">
        <v>0</v>
      </c>
      <c r="Q706" s="39">
        <f>SUM(H706:P706)</f>
        <v>454245.44</v>
      </c>
      <c r="R706" s="39">
        <v>179861.45</v>
      </c>
      <c r="S706" s="39">
        <v>95811.82</v>
      </c>
      <c r="T706" s="39">
        <v>0</v>
      </c>
      <c r="U706" s="39">
        <v>14381.62</v>
      </c>
      <c r="V706" s="39">
        <v>0</v>
      </c>
      <c r="W706" s="83">
        <f>Q706+G706+R706+S706+T706+U706+V706</f>
        <v>1506513.4900000002</v>
      </c>
      <c r="X706" s="41"/>
    </row>
    <row r="707" spans="1:24" ht="12.75" x14ac:dyDescent="0.2">
      <c r="A707" s="82" t="s">
        <v>42</v>
      </c>
      <c r="B707" s="141">
        <f t="shared" ref="B707:W707" si="195">B704+B706-B658</f>
        <v>2.5465851649641991E-11</v>
      </c>
      <c r="C707" s="141">
        <f t="shared" si="195"/>
        <v>836513.85175119981</v>
      </c>
      <c r="D707" s="141">
        <f t="shared" si="195"/>
        <v>2771277.6760256006</v>
      </c>
      <c r="E707" s="141">
        <f t="shared" si="195"/>
        <v>2993889.9153135996</v>
      </c>
      <c r="F707" s="141">
        <f t="shared" si="195"/>
        <v>1497231.6474941995</v>
      </c>
      <c r="G707" s="39">
        <f t="shared" si="195"/>
        <v>8098913.0905846031</v>
      </c>
      <c r="H707" s="141">
        <f t="shared" si="195"/>
        <v>2308642.65</v>
      </c>
      <c r="I707" s="141">
        <f t="shared" si="195"/>
        <v>1160895.9100000001</v>
      </c>
      <c r="J707" s="141">
        <f t="shared" si="195"/>
        <v>471937.01000000036</v>
      </c>
      <c r="K707" s="141">
        <f t="shared" si="195"/>
        <v>452682.98</v>
      </c>
      <c r="L707" s="141">
        <f t="shared" si="195"/>
        <v>1301991.68</v>
      </c>
      <c r="M707" s="141">
        <f t="shared" si="195"/>
        <v>141686.00000000041</v>
      </c>
      <c r="N707" s="141">
        <f t="shared" si="195"/>
        <v>1.2005330063402653E-10</v>
      </c>
      <c r="O707" s="141">
        <f t="shared" si="195"/>
        <v>744194.98999999964</v>
      </c>
      <c r="P707" s="141">
        <f t="shared" si="195"/>
        <v>1.7462298274040222E-10</v>
      </c>
      <c r="Q707" s="39">
        <f t="shared" si="195"/>
        <v>6582031.2199999932</v>
      </c>
      <c r="R707" s="39">
        <f t="shared" si="195"/>
        <v>4441759.2300000023</v>
      </c>
      <c r="S707" s="39">
        <f t="shared" si="195"/>
        <v>1923883.84</v>
      </c>
      <c r="T707" s="39">
        <f t="shared" si="195"/>
        <v>63446.880000000034</v>
      </c>
      <c r="U707" s="39">
        <f t="shared" si="195"/>
        <v>444369.15000000008</v>
      </c>
      <c r="V707" s="39">
        <f t="shared" si="195"/>
        <v>14578.05</v>
      </c>
      <c r="W707" s="140">
        <f t="shared" si="195"/>
        <v>21568981.460584607</v>
      </c>
      <c r="X707" s="41">
        <f>W706+X704</f>
        <v>368182778.66058457</v>
      </c>
    </row>
    <row r="708" spans="1:24" ht="12.75" x14ac:dyDescent="0.2">
      <c r="A708" s="85"/>
      <c r="B708" s="44"/>
      <c r="C708" s="44"/>
      <c r="D708" s="44"/>
      <c r="E708" s="44"/>
      <c r="F708" s="44"/>
      <c r="G708" s="45"/>
      <c r="H708" s="44"/>
      <c r="I708" s="44"/>
      <c r="J708" s="44"/>
      <c r="K708" s="44"/>
      <c r="L708" s="44"/>
      <c r="M708" s="44"/>
      <c r="N708" s="44"/>
      <c r="O708" s="44"/>
      <c r="P708" s="44"/>
      <c r="Q708" s="45"/>
      <c r="R708" s="47"/>
      <c r="S708" s="47"/>
      <c r="T708" s="47"/>
      <c r="U708" s="47"/>
      <c r="V708" s="43"/>
      <c r="W708" s="86"/>
      <c r="X708" s="46"/>
    </row>
    <row r="709" spans="1:24" ht="12.75" x14ac:dyDescent="0.2">
      <c r="A709" s="82" t="s">
        <v>46</v>
      </c>
      <c r="B709" s="38">
        <v>0</v>
      </c>
      <c r="C709" s="38">
        <v>168072.13</v>
      </c>
      <c r="D709" s="38">
        <v>339062.4</v>
      </c>
      <c r="E709" s="38">
        <v>183088.6</v>
      </c>
      <c r="F709" s="38">
        <v>116324.94</v>
      </c>
      <c r="G709" s="39">
        <f>SUM(B709:F709)</f>
        <v>806548.07000000007</v>
      </c>
      <c r="H709" s="38">
        <v>157612.72</v>
      </c>
      <c r="I709" s="38">
        <v>97852.23</v>
      </c>
      <c r="J709" s="38">
        <v>57545.14</v>
      </c>
      <c r="K709" s="38">
        <v>57388.05</v>
      </c>
      <c r="L709" s="38">
        <v>117044.13</v>
      </c>
      <c r="M709" s="38">
        <v>24123.85</v>
      </c>
      <c r="N709" s="38">
        <v>0</v>
      </c>
      <c r="O709" s="38">
        <v>8386.82</v>
      </c>
      <c r="P709" s="38">
        <v>13987.72</v>
      </c>
      <c r="Q709" s="39">
        <f>SUM(H709:P709)</f>
        <v>533940.66</v>
      </c>
      <c r="R709" s="39">
        <v>216481.38</v>
      </c>
      <c r="S709" s="39">
        <v>0</v>
      </c>
      <c r="T709" s="39">
        <v>0</v>
      </c>
      <c r="U709" s="39">
        <v>0</v>
      </c>
      <c r="V709" s="39">
        <v>0</v>
      </c>
      <c r="W709" s="83">
        <f>Q709+G709+R709+S709+T709+U709+V709</f>
        <v>1556970.1099999999</v>
      </c>
      <c r="X709" s="41"/>
    </row>
    <row r="710" spans="1:24" ht="12.75" x14ac:dyDescent="0.2">
      <c r="A710" s="82" t="s">
        <v>42</v>
      </c>
      <c r="B710" s="141">
        <f t="shared" ref="B710:W710" si="196">B707+B709-B661</f>
        <v>2.5465851649641991E-11</v>
      </c>
      <c r="C710" s="141">
        <f t="shared" si="196"/>
        <v>866227.18175119977</v>
      </c>
      <c r="D710" s="141">
        <f t="shared" si="196"/>
        <v>2913028.3960256004</v>
      </c>
      <c r="E710" s="141">
        <f t="shared" si="196"/>
        <v>2931090.8653135998</v>
      </c>
      <c r="F710" s="141">
        <f t="shared" si="196"/>
        <v>1456850.2074941993</v>
      </c>
      <c r="G710" s="39">
        <f t="shared" si="196"/>
        <v>8167196.6505846027</v>
      </c>
      <c r="H710" s="141">
        <f t="shared" si="196"/>
        <v>2270175.0500000003</v>
      </c>
      <c r="I710" s="141">
        <f t="shared" si="196"/>
        <v>1164494.32</v>
      </c>
      <c r="J710" s="141">
        <f t="shared" si="196"/>
        <v>468937.90000000037</v>
      </c>
      <c r="K710" s="141">
        <f t="shared" si="196"/>
        <v>451188.83999999997</v>
      </c>
      <c r="L710" s="141">
        <f t="shared" si="196"/>
        <v>1295747.5900000001</v>
      </c>
      <c r="M710" s="141">
        <f t="shared" si="196"/>
        <v>165809.85000000041</v>
      </c>
      <c r="N710" s="141">
        <f t="shared" si="196"/>
        <v>1.2005330063402653E-10</v>
      </c>
      <c r="O710" s="141">
        <f t="shared" si="196"/>
        <v>718017.00999999954</v>
      </c>
      <c r="P710" s="141">
        <f t="shared" si="196"/>
        <v>13987.720000000174</v>
      </c>
      <c r="Q710" s="39">
        <f t="shared" si="196"/>
        <v>6548358.2799999937</v>
      </c>
      <c r="R710" s="39">
        <f t="shared" si="196"/>
        <v>4391253.7400000021</v>
      </c>
      <c r="S710" s="39">
        <f t="shared" si="196"/>
        <v>1520767.44</v>
      </c>
      <c r="T710" s="39">
        <f t="shared" si="196"/>
        <v>54699.950000000033</v>
      </c>
      <c r="U710" s="39">
        <f t="shared" si="196"/>
        <v>402288.51000000007</v>
      </c>
      <c r="V710" s="39">
        <f t="shared" si="196"/>
        <v>14481.789999999999</v>
      </c>
      <c r="W710" s="140">
        <f t="shared" si="196"/>
        <v>21099046.360584605</v>
      </c>
      <c r="X710" s="41">
        <f>W709+X707</f>
        <v>369739748.77058458</v>
      </c>
    </row>
    <row r="711" spans="1:24" ht="12.75" x14ac:dyDescent="0.2">
      <c r="A711" s="85"/>
      <c r="B711" s="44"/>
      <c r="C711" s="44"/>
      <c r="D711" s="44"/>
      <c r="E711" s="44"/>
      <c r="F711" s="44"/>
      <c r="G711" s="45"/>
      <c r="H711" s="44"/>
      <c r="I711" s="44"/>
      <c r="J711" s="44"/>
      <c r="K711" s="44"/>
      <c r="L711" s="44"/>
      <c r="M711" s="44"/>
      <c r="N711" s="44"/>
      <c r="O711" s="44"/>
      <c r="P711" s="44"/>
      <c r="Q711" s="45"/>
      <c r="R711" s="47"/>
      <c r="S711" s="47"/>
      <c r="T711" s="47"/>
      <c r="U711" s="47"/>
      <c r="V711" s="43"/>
      <c r="W711" s="86"/>
      <c r="X711" s="46"/>
    </row>
    <row r="712" spans="1:24" ht="12.75" x14ac:dyDescent="0.2">
      <c r="A712" s="82" t="s">
        <v>47</v>
      </c>
      <c r="B712" s="38">
        <v>0</v>
      </c>
      <c r="C712" s="38">
        <v>166928.17000000001</v>
      </c>
      <c r="D712" s="38">
        <v>327789.5</v>
      </c>
      <c r="E712" s="38">
        <v>268420.5</v>
      </c>
      <c r="F712" s="38">
        <v>138293.6</v>
      </c>
      <c r="G712" s="39">
        <f>SUM(B712:F712)</f>
        <v>901431.77</v>
      </c>
      <c r="H712" s="38">
        <v>225233.22</v>
      </c>
      <c r="I712" s="38">
        <v>133543.85999999999</v>
      </c>
      <c r="J712" s="38">
        <v>83158.61</v>
      </c>
      <c r="K712" s="38">
        <v>83918.399999999994</v>
      </c>
      <c r="L712" s="38">
        <v>150348.97</v>
      </c>
      <c r="M712" s="38">
        <v>28751.72</v>
      </c>
      <c r="N712" s="38">
        <v>0</v>
      </c>
      <c r="O712" s="38">
        <v>151508.03</v>
      </c>
      <c r="P712" s="38">
        <v>0</v>
      </c>
      <c r="Q712" s="39">
        <f>SUM(H712:P712)</f>
        <v>856462.80999999994</v>
      </c>
      <c r="R712" s="39">
        <v>289168.68</v>
      </c>
      <c r="S712" s="39">
        <v>0</v>
      </c>
      <c r="T712" s="39">
        <v>0</v>
      </c>
      <c r="U712" s="39">
        <v>22002</v>
      </c>
      <c r="V712" s="39">
        <v>0</v>
      </c>
      <c r="W712" s="83">
        <f>Q712+G712+R712+S712+T712+U712+V712</f>
        <v>2069065.26</v>
      </c>
      <c r="X712" s="41"/>
    </row>
    <row r="713" spans="1:24" ht="12.75" x14ac:dyDescent="0.2">
      <c r="A713" s="82" t="s">
        <v>42</v>
      </c>
      <c r="B713" s="141">
        <f t="shared" ref="B713:W713" si="197">B710+B712-B664</f>
        <v>2.5465851649641991E-11</v>
      </c>
      <c r="C713" s="141">
        <f t="shared" si="197"/>
        <v>911941.01175119984</v>
      </c>
      <c r="D713" s="141">
        <f t="shared" si="197"/>
        <v>3028467.2160256002</v>
      </c>
      <c r="E713" s="141">
        <f t="shared" si="197"/>
        <v>2953623.7153135999</v>
      </c>
      <c r="F713" s="141">
        <f t="shared" si="197"/>
        <v>1464304.5074941993</v>
      </c>
      <c r="G713" s="39">
        <f t="shared" si="197"/>
        <v>8358336.4505846025</v>
      </c>
      <c r="H713" s="141">
        <f t="shared" si="197"/>
        <v>2286085.3600000003</v>
      </c>
      <c r="I713" s="141">
        <f t="shared" si="197"/>
        <v>1208471.2300000002</v>
      </c>
      <c r="J713" s="141">
        <f t="shared" si="197"/>
        <v>491486.73000000033</v>
      </c>
      <c r="K713" s="141">
        <f t="shared" si="197"/>
        <v>482913.49</v>
      </c>
      <c r="L713" s="141">
        <f t="shared" si="197"/>
        <v>1307724.9300000002</v>
      </c>
      <c r="M713" s="141">
        <f t="shared" si="197"/>
        <v>165719.1200000004</v>
      </c>
      <c r="N713" s="141">
        <f t="shared" si="197"/>
        <v>1.2005330063402653E-10</v>
      </c>
      <c r="O713" s="141">
        <f t="shared" si="197"/>
        <v>718537.64999999956</v>
      </c>
      <c r="P713" s="141">
        <f t="shared" si="197"/>
        <v>13987.720000000174</v>
      </c>
      <c r="Q713" s="39">
        <f t="shared" si="197"/>
        <v>6674926.229999993</v>
      </c>
      <c r="R713" s="39">
        <f t="shared" si="197"/>
        <v>4284530.9600000018</v>
      </c>
      <c r="S713" s="39">
        <f t="shared" si="197"/>
        <v>1269738.54</v>
      </c>
      <c r="T713" s="39">
        <f t="shared" si="197"/>
        <v>47034.410000000033</v>
      </c>
      <c r="U713" s="39">
        <f t="shared" si="197"/>
        <v>340280.02000000008</v>
      </c>
      <c r="V713" s="39">
        <f t="shared" si="197"/>
        <v>14481.789999999999</v>
      </c>
      <c r="W713" s="140">
        <f t="shared" si="197"/>
        <v>20989328.400584608</v>
      </c>
      <c r="X713" s="41">
        <f>W712+X710</f>
        <v>371808814.03058457</v>
      </c>
    </row>
    <row r="714" spans="1:24" ht="12.75" x14ac:dyDescent="0.2">
      <c r="A714" s="85"/>
      <c r="B714" s="43"/>
      <c r="C714" s="43"/>
      <c r="D714" s="43"/>
      <c r="E714" s="43"/>
      <c r="F714" s="43"/>
      <c r="G714" s="47"/>
      <c r="H714" s="43"/>
      <c r="I714" s="43"/>
      <c r="J714" s="43"/>
      <c r="K714" s="43"/>
      <c r="L714" s="43"/>
      <c r="M714" s="43"/>
      <c r="N714" s="43"/>
      <c r="O714" s="43"/>
      <c r="P714" s="43"/>
      <c r="Q714" s="47"/>
      <c r="R714" s="47"/>
      <c r="S714" s="47"/>
      <c r="T714" s="47"/>
      <c r="U714" s="47"/>
      <c r="V714" s="43"/>
      <c r="W714" s="87"/>
      <c r="X714" s="46"/>
    </row>
    <row r="715" spans="1:24" ht="12.75" x14ac:dyDescent="0.2">
      <c r="A715" s="82" t="s">
        <v>48</v>
      </c>
      <c r="B715" s="38">
        <v>0</v>
      </c>
      <c r="C715" s="38">
        <v>165269.96</v>
      </c>
      <c r="D715" s="38">
        <v>336828.47</v>
      </c>
      <c r="E715" s="38">
        <v>310222.65000000002</v>
      </c>
      <c r="F715" s="38">
        <v>154031.92000000001</v>
      </c>
      <c r="G715" s="39">
        <f>SUM(B715:F715)</f>
        <v>966353</v>
      </c>
      <c r="H715" s="38">
        <v>256773.8</v>
      </c>
      <c r="I715" s="38">
        <v>156370.76999999999</v>
      </c>
      <c r="J715" s="38">
        <v>80281.3</v>
      </c>
      <c r="K715" s="38">
        <v>81766.03</v>
      </c>
      <c r="L715" s="38">
        <v>129160.35</v>
      </c>
      <c r="M715" s="38">
        <v>30507.51</v>
      </c>
      <c r="N715" s="38">
        <v>0</v>
      </c>
      <c r="O715" s="38">
        <v>153215.32999999999</v>
      </c>
      <c r="P715" s="38">
        <v>0</v>
      </c>
      <c r="Q715" s="39">
        <f>SUM(H715:P715)</f>
        <v>888075.08999999985</v>
      </c>
      <c r="R715" s="39">
        <v>807303.65</v>
      </c>
      <c r="S715" s="39">
        <v>0</v>
      </c>
      <c r="T715" s="39">
        <v>0</v>
      </c>
      <c r="U715" s="39">
        <v>0</v>
      </c>
      <c r="V715" s="39">
        <v>0</v>
      </c>
      <c r="W715" s="83">
        <f>Q715+G715+R715+S715+T715+U715+V715</f>
        <v>2661731.7399999998</v>
      </c>
      <c r="X715" s="41"/>
    </row>
    <row r="716" spans="1:24" ht="12.75" x14ac:dyDescent="0.2">
      <c r="A716" s="82" t="s">
        <v>42</v>
      </c>
      <c r="B716" s="141">
        <f t="shared" ref="B716:W716" si="198">B713+B715-B667</f>
        <v>2.5465851649641991E-11</v>
      </c>
      <c r="C716" s="141">
        <f t="shared" si="198"/>
        <v>951184.15175119974</v>
      </c>
      <c r="D716" s="141">
        <f t="shared" si="198"/>
        <v>3195655.7660256</v>
      </c>
      <c r="E716" s="141">
        <f t="shared" si="198"/>
        <v>2987279.1553135999</v>
      </c>
      <c r="F716" s="141">
        <f t="shared" si="198"/>
        <v>1482383.8674941992</v>
      </c>
      <c r="G716" s="39">
        <f t="shared" si="198"/>
        <v>8616502.9405846018</v>
      </c>
      <c r="H716" s="141">
        <f t="shared" si="198"/>
        <v>2292823.4000000004</v>
      </c>
      <c r="I716" s="141">
        <f t="shared" si="198"/>
        <v>1205336.7600000002</v>
      </c>
      <c r="J716" s="141">
        <f t="shared" si="198"/>
        <v>505464.4900000004</v>
      </c>
      <c r="K716" s="141">
        <f t="shared" si="198"/>
        <v>508721.44</v>
      </c>
      <c r="L716" s="141">
        <f t="shared" si="198"/>
        <v>1293666.3700000003</v>
      </c>
      <c r="M716" s="141">
        <f t="shared" si="198"/>
        <v>188363.33000000042</v>
      </c>
      <c r="N716" s="141">
        <f t="shared" si="198"/>
        <v>1.2005330063402653E-10</v>
      </c>
      <c r="O716" s="141">
        <f t="shared" si="198"/>
        <v>708632.68999999948</v>
      </c>
      <c r="P716" s="141">
        <f t="shared" si="198"/>
        <v>13987.720000000174</v>
      </c>
      <c r="Q716" s="39">
        <f t="shared" si="198"/>
        <v>6716996.1999999927</v>
      </c>
      <c r="R716" s="39">
        <f t="shared" si="198"/>
        <v>4559402.0700000022</v>
      </c>
      <c r="S716" s="39">
        <f t="shared" si="198"/>
        <v>939231.10000000009</v>
      </c>
      <c r="T716" s="39">
        <f t="shared" si="198"/>
        <v>34281.22000000003</v>
      </c>
      <c r="U716" s="39">
        <f t="shared" si="198"/>
        <v>283405.34000000008</v>
      </c>
      <c r="V716" s="39">
        <f t="shared" si="198"/>
        <v>14481.789999999999</v>
      </c>
      <c r="W716" s="140">
        <f t="shared" si="198"/>
        <v>21164300.660584606</v>
      </c>
      <c r="X716" s="41">
        <f>W715+X713</f>
        <v>374470545.77058458</v>
      </c>
    </row>
    <row r="717" spans="1:24" ht="12.75" x14ac:dyDescent="0.2">
      <c r="A717" s="85"/>
      <c r="B717" s="44"/>
      <c r="C717" s="44"/>
      <c r="D717" s="44"/>
      <c r="E717" s="44"/>
      <c r="F717" s="44"/>
      <c r="G717" s="45"/>
      <c r="H717" s="44"/>
      <c r="I717" s="44"/>
      <c r="J717" s="44"/>
      <c r="K717" s="44"/>
      <c r="L717" s="44"/>
      <c r="M717" s="44"/>
      <c r="N717" s="44"/>
      <c r="O717" s="44"/>
      <c r="P717" s="44"/>
      <c r="Q717" s="45"/>
      <c r="R717" s="47"/>
      <c r="S717" s="47"/>
      <c r="T717" s="47"/>
      <c r="U717" s="47"/>
      <c r="V717" s="43"/>
      <c r="W717" s="86"/>
      <c r="X717" s="46"/>
    </row>
    <row r="718" spans="1:24" ht="12.75" x14ac:dyDescent="0.2">
      <c r="A718" s="82" t="s">
        <v>49</v>
      </c>
      <c r="B718" s="38">
        <v>0</v>
      </c>
      <c r="C718" s="38">
        <v>149463.14000000001</v>
      </c>
      <c r="D718" s="38">
        <v>335240.03999999998</v>
      </c>
      <c r="E718" s="38">
        <v>294700.59999999998</v>
      </c>
      <c r="F718" s="38">
        <v>161382.33199999999</v>
      </c>
      <c r="G718" s="39">
        <f>SUM(B718:F718)</f>
        <v>940786.11199999996</v>
      </c>
      <c r="H718" s="38">
        <v>262176.31</v>
      </c>
      <c r="I718" s="38">
        <v>181825.41</v>
      </c>
      <c r="J718" s="38">
        <v>80462.64</v>
      </c>
      <c r="K718" s="38">
        <v>76713.36</v>
      </c>
      <c r="L718" s="38">
        <v>48899.08</v>
      </c>
      <c r="M718" s="38">
        <v>39206.339999999997</v>
      </c>
      <c r="N718" s="38">
        <v>21464.37</v>
      </c>
      <c r="O718" s="38">
        <v>163369.48000000001</v>
      </c>
      <c r="P718" s="38">
        <v>0</v>
      </c>
      <c r="Q718" s="39">
        <f>SUM(H718:P718)</f>
        <v>874116.98999999987</v>
      </c>
      <c r="R718" s="39">
        <v>779537.01</v>
      </c>
      <c r="S718" s="39">
        <v>0</v>
      </c>
      <c r="T718" s="39">
        <v>0</v>
      </c>
      <c r="U718" s="39">
        <v>0</v>
      </c>
      <c r="V718" s="39">
        <v>0</v>
      </c>
      <c r="W718" s="83">
        <f>Q718+G718+R718+S718+T718+U718+V718</f>
        <v>2594440.1119999997</v>
      </c>
      <c r="X718" s="41"/>
    </row>
    <row r="719" spans="1:24" ht="12.75" x14ac:dyDescent="0.2">
      <c r="A719" s="82" t="s">
        <v>42</v>
      </c>
      <c r="B719" s="141">
        <f t="shared" ref="B719:W719" si="199">B716+B718-B670</f>
        <v>2.5465851649641991E-11</v>
      </c>
      <c r="C719" s="141">
        <f t="shared" si="199"/>
        <v>982139.9717511998</v>
      </c>
      <c r="D719" s="141">
        <f t="shared" si="199"/>
        <v>3334185.6860255999</v>
      </c>
      <c r="E719" s="141">
        <f t="shared" si="199"/>
        <v>2961197.8853135998</v>
      </c>
      <c r="F719" s="141">
        <f t="shared" si="199"/>
        <v>1493075.4194941991</v>
      </c>
      <c r="G719" s="39">
        <f t="shared" si="199"/>
        <v>8770598.9625846017</v>
      </c>
      <c r="H719" s="141">
        <f t="shared" si="199"/>
        <v>2323777.4700000007</v>
      </c>
      <c r="I719" s="141">
        <f t="shared" si="199"/>
        <v>1360845.4000000001</v>
      </c>
      <c r="J719" s="141">
        <f t="shared" si="199"/>
        <v>533026.14000000036</v>
      </c>
      <c r="K719" s="141">
        <f t="shared" si="199"/>
        <v>536696.15</v>
      </c>
      <c r="L719" s="141">
        <f t="shared" si="199"/>
        <v>1191763.0200000005</v>
      </c>
      <c r="M719" s="141">
        <f t="shared" si="199"/>
        <v>195365.08000000042</v>
      </c>
      <c r="N719" s="141">
        <f t="shared" si="199"/>
        <v>21464.370000000119</v>
      </c>
      <c r="O719" s="141">
        <f t="shared" si="199"/>
        <v>690872.53999999946</v>
      </c>
      <c r="P719" s="141">
        <f t="shared" si="199"/>
        <v>13987.720000000174</v>
      </c>
      <c r="Q719" s="39">
        <f t="shared" si="199"/>
        <v>6867797.8899999931</v>
      </c>
      <c r="R719" s="39">
        <f t="shared" si="199"/>
        <v>4851350.7300000023</v>
      </c>
      <c r="S719" s="39">
        <f t="shared" si="199"/>
        <v>579862.76</v>
      </c>
      <c r="T719" s="39">
        <f t="shared" si="199"/>
        <v>26456.080000000031</v>
      </c>
      <c r="U719" s="39">
        <f t="shared" si="199"/>
        <v>220326.45000000007</v>
      </c>
      <c r="V719" s="39">
        <f t="shared" si="199"/>
        <v>14481.789999999999</v>
      </c>
      <c r="W719" s="140">
        <f t="shared" si="199"/>
        <v>21330874.662584607</v>
      </c>
      <c r="X719" s="41">
        <f>W718+X716</f>
        <v>377064985.88258457</v>
      </c>
    </row>
    <row r="720" spans="1:24" ht="12.75" x14ac:dyDescent="0.2">
      <c r="A720" s="85"/>
      <c r="B720" s="43"/>
      <c r="C720" s="43"/>
      <c r="D720" s="43"/>
      <c r="E720" s="43"/>
      <c r="F720" s="43"/>
      <c r="G720" s="47"/>
      <c r="H720" s="43"/>
      <c r="I720" s="43"/>
      <c r="J720" s="43"/>
      <c r="K720" s="43"/>
      <c r="L720" s="43"/>
      <c r="M720" s="43"/>
      <c r="N720" s="43"/>
      <c r="O720" s="43"/>
      <c r="P720" s="43"/>
      <c r="Q720" s="47"/>
      <c r="R720" s="47"/>
      <c r="S720" s="47"/>
      <c r="T720" s="47"/>
      <c r="U720" s="47"/>
      <c r="V720" s="43"/>
      <c r="W720" s="87"/>
      <c r="X720" s="46"/>
    </row>
    <row r="721" spans="1:24" ht="12.75" x14ac:dyDescent="0.2">
      <c r="A721" s="82" t="s">
        <v>50</v>
      </c>
      <c r="B721" s="38">
        <v>0</v>
      </c>
      <c r="C721" s="38">
        <v>140059.76999999999</v>
      </c>
      <c r="D721" s="38">
        <v>269832.44</v>
      </c>
      <c r="E721" s="38">
        <v>285429.13</v>
      </c>
      <c r="F721" s="38">
        <v>155488.62</v>
      </c>
      <c r="G721" s="39">
        <f>SUM(B721:F721)</f>
        <v>850809.96</v>
      </c>
      <c r="H721" s="38">
        <v>239710.77</v>
      </c>
      <c r="I721" s="38">
        <v>125348.72</v>
      </c>
      <c r="J721" s="38">
        <v>84315.839999999997</v>
      </c>
      <c r="K721" s="38">
        <v>85454.75</v>
      </c>
      <c r="L721" s="38">
        <v>0</v>
      </c>
      <c r="M721" s="38">
        <v>33579.01</v>
      </c>
      <c r="N721" s="38">
        <v>24645.94</v>
      </c>
      <c r="O721" s="38">
        <v>141227.57</v>
      </c>
      <c r="P721" s="38">
        <v>47510.33</v>
      </c>
      <c r="Q721" s="39">
        <f>SUM(H721:P721)</f>
        <v>781792.92999999982</v>
      </c>
      <c r="R721" s="39">
        <v>926645.07</v>
      </c>
      <c r="S721" s="39">
        <v>139685.57999999999</v>
      </c>
      <c r="T721" s="39">
        <v>0</v>
      </c>
      <c r="U721" s="39">
        <v>0</v>
      </c>
      <c r="V721" s="39">
        <v>0</v>
      </c>
      <c r="W721" s="83">
        <f>Q721+G721+R721+S721+T721+U721+V721</f>
        <v>2698933.5399999996</v>
      </c>
      <c r="X721" s="41"/>
    </row>
    <row r="722" spans="1:24" ht="12.75" x14ac:dyDescent="0.2">
      <c r="A722" s="82" t="s">
        <v>42</v>
      </c>
      <c r="B722" s="141">
        <f t="shared" ref="B722:W722" si="200">B719+B721-B673</f>
        <v>2.5465851649641991E-11</v>
      </c>
      <c r="C722" s="141">
        <f t="shared" si="200"/>
        <v>1053020.3417511999</v>
      </c>
      <c r="D722" s="141">
        <f t="shared" si="200"/>
        <v>3336323.9260255997</v>
      </c>
      <c r="E722" s="141">
        <f t="shared" si="200"/>
        <v>2955622.3653135998</v>
      </c>
      <c r="F722" s="141">
        <f t="shared" si="200"/>
        <v>1502384.9594941991</v>
      </c>
      <c r="G722" s="39">
        <f t="shared" si="200"/>
        <v>8847351.5925846007</v>
      </c>
      <c r="H722" s="141">
        <f t="shared" si="200"/>
        <v>2312368.0500000007</v>
      </c>
      <c r="I722" s="141">
        <f t="shared" si="200"/>
        <v>1416813.6500000001</v>
      </c>
      <c r="J722" s="141">
        <f t="shared" si="200"/>
        <v>569971.64000000036</v>
      </c>
      <c r="K722" s="141">
        <f t="shared" si="200"/>
        <v>575798.11</v>
      </c>
      <c r="L722" s="141">
        <f t="shared" si="200"/>
        <v>1027910.1800000005</v>
      </c>
      <c r="M722" s="141">
        <f t="shared" si="200"/>
        <v>194496.35000000044</v>
      </c>
      <c r="N722" s="141">
        <f t="shared" si="200"/>
        <v>46110.310000000114</v>
      </c>
      <c r="O722" s="141">
        <f t="shared" si="200"/>
        <v>678421.83999999939</v>
      </c>
      <c r="P722" s="141">
        <f t="shared" si="200"/>
        <v>61498.050000000178</v>
      </c>
      <c r="Q722" s="39">
        <f t="shared" si="200"/>
        <v>6883388.1799999932</v>
      </c>
      <c r="R722" s="39">
        <f t="shared" si="200"/>
        <v>5310904.1100000022</v>
      </c>
      <c r="S722" s="39">
        <f t="shared" si="200"/>
        <v>497233.22</v>
      </c>
      <c r="T722" s="39">
        <f t="shared" si="200"/>
        <v>14882.80000000003</v>
      </c>
      <c r="U722" s="39">
        <f t="shared" si="200"/>
        <v>85803.960000000079</v>
      </c>
      <c r="V722" s="39">
        <f t="shared" si="200"/>
        <v>14481.789999999999</v>
      </c>
      <c r="W722" s="140">
        <f t="shared" si="200"/>
        <v>21654045.652584605</v>
      </c>
      <c r="X722" s="41">
        <f>W721+X719</f>
        <v>379763919.42258459</v>
      </c>
    </row>
    <row r="723" spans="1:24" ht="12.75" x14ac:dyDescent="0.2">
      <c r="A723" s="85"/>
      <c r="B723" s="43"/>
      <c r="C723" s="43"/>
      <c r="D723" s="43"/>
      <c r="E723" s="43"/>
      <c r="F723" s="43"/>
      <c r="G723" s="47"/>
      <c r="H723" s="43"/>
      <c r="I723" s="43"/>
      <c r="J723" s="43"/>
      <c r="K723" s="43"/>
      <c r="L723" s="43"/>
      <c r="M723" s="43"/>
      <c r="N723" s="43"/>
      <c r="O723" s="43"/>
      <c r="P723" s="43"/>
      <c r="Q723" s="47"/>
      <c r="R723" s="47"/>
      <c r="S723" s="47"/>
      <c r="T723" s="47"/>
      <c r="U723" s="47"/>
      <c r="V723" s="43"/>
      <c r="W723" s="87"/>
      <c r="X723" s="46"/>
    </row>
    <row r="724" spans="1:24" ht="12.75" x14ac:dyDescent="0.2">
      <c r="A724" s="82" t="s">
        <v>51</v>
      </c>
      <c r="B724" s="38">
        <v>0</v>
      </c>
      <c r="C724" s="38">
        <v>72210</v>
      </c>
      <c r="D724" s="38">
        <v>313661.90000000002</v>
      </c>
      <c r="E724" s="38">
        <v>232026.82</v>
      </c>
      <c r="F724" s="38">
        <v>167879.85</v>
      </c>
      <c r="G724" s="39">
        <f>SUM(B724:F724)</f>
        <v>785778.57</v>
      </c>
      <c r="H724" s="38">
        <v>208110.46</v>
      </c>
      <c r="I724" s="38">
        <v>25110.95</v>
      </c>
      <c r="J724" s="38">
        <v>30144.21</v>
      </c>
      <c r="K724" s="38">
        <v>29250.75</v>
      </c>
      <c r="L724" s="38">
        <v>48900.22</v>
      </c>
      <c r="M724" s="38">
        <v>16750.55</v>
      </c>
      <c r="N724" s="38">
        <v>0</v>
      </c>
      <c r="O724" s="38">
        <v>94528.45</v>
      </c>
      <c r="P724" s="38">
        <v>22665.59</v>
      </c>
      <c r="Q724" s="39">
        <f>SUM(H724:P724)</f>
        <v>475461.18</v>
      </c>
      <c r="R724" s="39">
        <v>1063604.72</v>
      </c>
      <c r="S724" s="39">
        <v>130996.89</v>
      </c>
      <c r="T724" s="39">
        <v>0</v>
      </c>
      <c r="U724" s="39">
        <v>28083.85</v>
      </c>
      <c r="V724" s="39">
        <v>0</v>
      </c>
      <c r="W724" s="83">
        <f>Q724+G724+R724+S724+T724+U724+V724</f>
        <v>2483925.21</v>
      </c>
      <c r="X724" s="41"/>
    </row>
    <row r="725" spans="1:24" ht="12.75" x14ac:dyDescent="0.2">
      <c r="A725" s="82" t="s">
        <v>42</v>
      </c>
      <c r="B725" s="141">
        <f t="shared" ref="B725:W725" si="201">B722+B724-B676</f>
        <v>2.5465851649641991E-11</v>
      </c>
      <c r="C725" s="141">
        <f t="shared" si="201"/>
        <v>1125230.3417511999</v>
      </c>
      <c r="D725" s="141">
        <f t="shared" si="201"/>
        <v>3379885.3860255997</v>
      </c>
      <c r="E725" s="141">
        <f t="shared" si="201"/>
        <v>2878597.7353135995</v>
      </c>
      <c r="F725" s="141">
        <f t="shared" si="201"/>
        <v>1549652.0294941992</v>
      </c>
      <c r="G725" s="39">
        <f t="shared" si="201"/>
        <v>8933365.492584601</v>
      </c>
      <c r="H725" s="141">
        <f t="shared" si="201"/>
        <v>2328429.0800000005</v>
      </c>
      <c r="I725" s="141">
        <f t="shared" si="201"/>
        <v>1323792.9700000002</v>
      </c>
      <c r="J725" s="141">
        <f t="shared" si="201"/>
        <v>583084.50000000035</v>
      </c>
      <c r="K725" s="141">
        <f t="shared" si="201"/>
        <v>587642.42999999993</v>
      </c>
      <c r="L725" s="141">
        <f t="shared" si="201"/>
        <v>968007.96000000066</v>
      </c>
      <c r="M725" s="141">
        <f t="shared" si="201"/>
        <v>201207.60000000044</v>
      </c>
      <c r="N725" s="141">
        <f t="shared" si="201"/>
        <v>46110.310000000114</v>
      </c>
      <c r="O725" s="141">
        <f t="shared" si="201"/>
        <v>727077.79999999935</v>
      </c>
      <c r="P725" s="141">
        <f t="shared" si="201"/>
        <v>84163.640000000174</v>
      </c>
      <c r="Q725" s="39">
        <f t="shared" si="201"/>
        <v>6849516.2899999926</v>
      </c>
      <c r="R725" s="39">
        <f t="shared" si="201"/>
        <v>5973022.2900000019</v>
      </c>
      <c r="S725" s="39">
        <f t="shared" si="201"/>
        <v>421545.77</v>
      </c>
      <c r="T725" s="39">
        <f t="shared" si="201"/>
        <v>5503.0900000000311</v>
      </c>
      <c r="U725" s="39">
        <f t="shared" si="201"/>
        <v>64467.470000000088</v>
      </c>
      <c r="V725" s="39">
        <f t="shared" si="201"/>
        <v>14481.789999999999</v>
      </c>
      <c r="W725" s="140">
        <f t="shared" si="201"/>
        <v>22261902.192584604</v>
      </c>
      <c r="X725" s="41">
        <f>W724+X722</f>
        <v>382247844.63258457</v>
      </c>
    </row>
    <row r="726" spans="1:24" ht="12.75" x14ac:dyDescent="0.2">
      <c r="A726" s="85"/>
      <c r="B726" s="44"/>
      <c r="C726" s="44"/>
      <c r="D726" s="44"/>
      <c r="E726" s="44"/>
      <c r="F726" s="44"/>
      <c r="G726" s="45"/>
      <c r="H726" s="44"/>
      <c r="I726" s="44"/>
      <c r="J726" s="44"/>
      <c r="K726" s="44"/>
      <c r="L726" s="44"/>
      <c r="M726" s="44"/>
      <c r="N726" s="44"/>
      <c r="O726" s="44"/>
      <c r="P726" s="44"/>
      <c r="Q726" s="45"/>
      <c r="R726" s="47"/>
      <c r="S726" s="47"/>
      <c r="T726" s="47"/>
      <c r="U726" s="47"/>
      <c r="V726" s="43"/>
      <c r="W726" s="86"/>
      <c r="X726" s="46"/>
    </row>
    <row r="727" spans="1:24" ht="12.75" x14ac:dyDescent="0.2">
      <c r="A727" s="82" t="s">
        <v>52</v>
      </c>
      <c r="B727" s="38">
        <v>0</v>
      </c>
      <c r="C727" s="38">
        <v>54566.47</v>
      </c>
      <c r="D727" s="38">
        <v>315861.63</v>
      </c>
      <c r="E727" s="38">
        <v>305595.36</v>
      </c>
      <c r="F727" s="38">
        <v>162038.91</v>
      </c>
      <c r="G727" s="39">
        <f>SUM(B727:F727)</f>
        <v>838062.37</v>
      </c>
      <c r="H727" s="38">
        <v>193492.89</v>
      </c>
      <c r="I727" s="38">
        <v>142962.29</v>
      </c>
      <c r="J727" s="38">
        <v>20248.099999999999</v>
      </c>
      <c r="K727" s="38">
        <v>19358.919999999998</v>
      </c>
      <c r="L727" s="38">
        <v>51298.28</v>
      </c>
      <c r="M727" s="38">
        <v>11631.17</v>
      </c>
      <c r="N727" s="38">
        <v>0</v>
      </c>
      <c r="O727" s="38">
        <v>110553.49</v>
      </c>
      <c r="P727" s="38">
        <v>0</v>
      </c>
      <c r="Q727" s="39">
        <f>SUM(H727:P727)</f>
        <v>549545.14</v>
      </c>
      <c r="R727" s="39">
        <v>974136.5</v>
      </c>
      <c r="S727" s="39">
        <v>72192.259999999995</v>
      </c>
      <c r="T727" s="39">
        <v>0</v>
      </c>
      <c r="U727" s="39">
        <v>21430.51</v>
      </c>
      <c r="V727" s="39">
        <v>36955.43</v>
      </c>
      <c r="W727" s="83">
        <f>Q727+G727+R727+S727+T727+U727+V727</f>
        <v>2492322.2099999995</v>
      </c>
      <c r="X727" s="41"/>
    </row>
    <row r="728" spans="1:24" ht="12.75" x14ac:dyDescent="0.2">
      <c r="A728" s="82" t="s">
        <v>42</v>
      </c>
      <c r="B728" s="141">
        <f t="shared" ref="B728:T728" si="202">B725+B727-B679</f>
        <v>2.5465851649641991E-11</v>
      </c>
      <c r="C728" s="141">
        <f t="shared" si="202"/>
        <v>1175495.6617512</v>
      </c>
      <c r="D728" s="141">
        <f t="shared" si="202"/>
        <v>3457754.8360255994</v>
      </c>
      <c r="E728" s="141">
        <f t="shared" si="202"/>
        <v>2917275.9053135994</v>
      </c>
      <c r="F728" s="141">
        <f t="shared" si="202"/>
        <v>1599124.0194941992</v>
      </c>
      <c r="G728" s="39">
        <f t="shared" si="202"/>
        <v>9149650.4225846007</v>
      </c>
      <c r="H728" s="141">
        <f t="shared" si="202"/>
        <v>2344679.4600000009</v>
      </c>
      <c r="I728" s="141">
        <f t="shared" si="202"/>
        <v>1355140.3100000003</v>
      </c>
      <c r="J728" s="141">
        <f t="shared" si="202"/>
        <v>589381.56000000029</v>
      </c>
      <c r="K728" s="141">
        <f t="shared" si="202"/>
        <v>591878.13</v>
      </c>
      <c r="L728" s="141">
        <f t="shared" si="202"/>
        <v>903418.0000000007</v>
      </c>
      <c r="M728" s="141">
        <f t="shared" si="202"/>
        <v>203908.98000000045</v>
      </c>
      <c r="N728" s="141">
        <f t="shared" si="202"/>
        <v>46110.310000000114</v>
      </c>
      <c r="O728" s="141">
        <f t="shared" si="202"/>
        <v>822789.16999999934</v>
      </c>
      <c r="P728" s="141">
        <f t="shared" si="202"/>
        <v>84163.640000000174</v>
      </c>
      <c r="Q728" s="39">
        <f t="shared" si="202"/>
        <v>6941469.5599999921</v>
      </c>
      <c r="R728" s="39">
        <f t="shared" si="202"/>
        <v>6407490.2900000019</v>
      </c>
      <c r="S728" s="39">
        <f t="shared" si="202"/>
        <v>493738.03</v>
      </c>
      <c r="T728" s="39">
        <f t="shared" si="202"/>
        <v>-5345.2399999999689</v>
      </c>
      <c r="U728" s="39">
        <f>U725+U727-U679</f>
        <v>85897.980000000083</v>
      </c>
      <c r="V728" s="39">
        <f>V725+V727-V679</f>
        <v>51437.22</v>
      </c>
      <c r="W728" s="140">
        <f>W725+W727-W679</f>
        <v>23124338.262584604</v>
      </c>
      <c r="X728" s="41">
        <f>W727+X725</f>
        <v>384740166.84258455</v>
      </c>
    </row>
    <row r="729" spans="1:24" ht="12.75" x14ac:dyDescent="0.2">
      <c r="A729" s="85"/>
      <c r="B729" s="43"/>
      <c r="C729" s="43"/>
      <c r="D729" s="43"/>
      <c r="E729" s="43"/>
      <c r="F729" s="43"/>
      <c r="G729" s="47"/>
      <c r="H729" s="43"/>
      <c r="I729" s="43"/>
      <c r="J729" s="43"/>
      <c r="K729" s="43"/>
      <c r="L729" s="43"/>
      <c r="M729" s="43"/>
      <c r="N729" s="43"/>
      <c r="O729" s="43"/>
      <c r="P729" s="43"/>
      <c r="Q729" s="47"/>
      <c r="R729" s="47"/>
      <c r="S729" s="47"/>
      <c r="T729" s="47"/>
      <c r="U729" s="47"/>
      <c r="V729" s="43"/>
      <c r="W729" s="87"/>
      <c r="X729" s="46"/>
    </row>
    <row r="730" spans="1:24" ht="12.75" x14ac:dyDescent="0.2">
      <c r="A730" s="82" t="s">
        <v>53</v>
      </c>
      <c r="B730" s="38">
        <v>0</v>
      </c>
      <c r="C730" s="38">
        <v>72099.899999999994</v>
      </c>
      <c r="D730" s="38">
        <v>265732.8</v>
      </c>
      <c r="E730" s="38">
        <v>320005.12</v>
      </c>
      <c r="F730" s="38">
        <v>150302.10999999999</v>
      </c>
      <c r="G730" s="39">
        <f>SUM(B730:F730)</f>
        <v>808139.92999999993</v>
      </c>
      <c r="H730" s="38">
        <v>208313.76</v>
      </c>
      <c r="I730" s="38">
        <v>149888.01</v>
      </c>
      <c r="J730" s="38">
        <v>28853.49</v>
      </c>
      <c r="K730" s="38">
        <v>12728.89</v>
      </c>
      <c r="L730" s="38">
        <v>40239.9</v>
      </c>
      <c r="M730" s="38">
        <v>17168.419999999998</v>
      </c>
      <c r="N730" s="38">
        <v>0</v>
      </c>
      <c r="O730" s="38">
        <v>118631.26</v>
      </c>
      <c r="P730" s="38">
        <v>0</v>
      </c>
      <c r="Q730" s="39">
        <f>SUM(H730:P730)</f>
        <v>575823.73</v>
      </c>
      <c r="R730" s="39">
        <v>890032.88</v>
      </c>
      <c r="S730" s="39">
        <v>151349.56</v>
      </c>
      <c r="T730" s="39">
        <v>0</v>
      </c>
      <c r="U730" s="39">
        <v>13798.72</v>
      </c>
      <c r="V730" s="39">
        <v>0</v>
      </c>
      <c r="W730" s="83">
        <f>Q730+G730+R730+S730+T730+U730+V730</f>
        <v>2439144.8200000003</v>
      </c>
      <c r="X730" s="41"/>
    </row>
    <row r="731" spans="1:24" ht="13.5" thickBot="1" x14ac:dyDescent="0.25">
      <c r="A731" s="88" t="s">
        <v>42</v>
      </c>
      <c r="B731" s="143">
        <f t="shared" ref="B731:V731" si="203">B728+B730-B682</f>
        <v>2.5465851649641991E-11</v>
      </c>
      <c r="C731" s="143">
        <f t="shared" si="203"/>
        <v>1158786.2517511998</v>
      </c>
      <c r="D731" s="143">
        <f t="shared" si="203"/>
        <v>3471901.7560255993</v>
      </c>
      <c r="E731" s="143">
        <f t="shared" si="203"/>
        <v>2949676.4453135994</v>
      </c>
      <c r="F731" s="143">
        <f t="shared" si="203"/>
        <v>1655599.809494199</v>
      </c>
      <c r="G731" s="50">
        <f t="shared" si="203"/>
        <v>9235964.2625846006</v>
      </c>
      <c r="H731" s="143">
        <f t="shared" si="203"/>
        <v>2366965.2400000007</v>
      </c>
      <c r="I731" s="143">
        <f t="shared" si="203"/>
        <v>1384968.1200000003</v>
      </c>
      <c r="J731" s="143">
        <f t="shared" si="203"/>
        <v>573979.19000000029</v>
      </c>
      <c r="K731" s="143">
        <f t="shared" si="203"/>
        <v>559237.83000000007</v>
      </c>
      <c r="L731" s="198">
        <f t="shared" si="203"/>
        <v>846348.12000000069</v>
      </c>
      <c r="M731" s="143">
        <f t="shared" si="203"/>
        <v>215888.51000000042</v>
      </c>
      <c r="N731" s="143">
        <f t="shared" si="203"/>
        <v>46110.310000000114</v>
      </c>
      <c r="O731" s="143">
        <f t="shared" si="203"/>
        <v>941420.42999999935</v>
      </c>
      <c r="P731" s="143">
        <f t="shared" si="203"/>
        <v>84163.640000000174</v>
      </c>
      <c r="Q731" s="50">
        <f t="shared" si="203"/>
        <v>7019081.3899999913</v>
      </c>
      <c r="R731" s="50">
        <f t="shared" si="203"/>
        <v>6894623.7100000018</v>
      </c>
      <c r="S731" s="50">
        <f t="shared" si="203"/>
        <v>645087.59000000008</v>
      </c>
      <c r="T731" s="50">
        <f t="shared" si="203"/>
        <v>3.092281986027956E-11</v>
      </c>
      <c r="U731" s="50">
        <f t="shared" si="203"/>
        <v>99696.700000000084</v>
      </c>
      <c r="V731" s="50">
        <f t="shared" si="203"/>
        <v>51437.22</v>
      </c>
      <c r="W731" s="144">
        <f>W728+W730-W682</f>
        <v>23945890.872584604</v>
      </c>
      <c r="X731" s="51">
        <f>W730+X728</f>
        <v>387179311.66258454</v>
      </c>
    </row>
    <row r="732" spans="1:24" ht="12.75" x14ac:dyDescent="0.2">
      <c r="A732" s="92"/>
      <c r="C732" s="90"/>
      <c r="D732" s="90"/>
      <c r="E732" s="90"/>
      <c r="F732" s="90"/>
      <c r="G732" s="90"/>
      <c r="I732" s="90"/>
      <c r="J732" s="90"/>
      <c r="K732" s="90"/>
      <c r="L732" s="90"/>
      <c r="M732" s="90"/>
      <c r="N732" s="90"/>
      <c r="O732" s="171"/>
      <c r="P732" s="90"/>
      <c r="Q732" s="52" t="s">
        <v>188</v>
      </c>
      <c r="S732" s="52"/>
      <c r="T732" s="52"/>
      <c r="U732" s="52"/>
      <c r="V732" s="52"/>
      <c r="W732" s="90"/>
      <c r="X732" s="91"/>
    </row>
    <row r="733" spans="1:24" ht="12.75" x14ac:dyDescent="0.2">
      <c r="B733" s="1" t="s">
        <v>131</v>
      </c>
      <c r="P733" t="s">
        <v>122</v>
      </c>
      <c r="X733" s="9"/>
    </row>
    <row r="734" spans="1:24" x14ac:dyDescent="0.2">
      <c r="B734" s="137" t="s">
        <v>175</v>
      </c>
    </row>
    <row r="736" spans="1:24" ht="27" x14ac:dyDescent="0.35">
      <c r="A736" s="133" t="s">
        <v>177</v>
      </c>
      <c r="B736" s="54"/>
      <c r="C736" s="122"/>
      <c r="D736" s="58"/>
      <c r="E736" s="127"/>
      <c r="F736" s="128"/>
      <c r="G736" s="127"/>
      <c r="H736" s="129"/>
      <c r="I736" s="130"/>
      <c r="J736" s="130"/>
      <c r="K736" s="130"/>
      <c r="L736" s="130"/>
      <c r="M736" s="130"/>
      <c r="N736" s="130"/>
      <c r="O736" s="130"/>
      <c r="P736" s="130"/>
      <c r="Q736" s="130"/>
      <c r="R736" s="128"/>
      <c r="S736" s="128"/>
      <c r="T736" s="128"/>
      <c r="U736" s="128"/>
      <c r="V736" s="128"/>
      <c r="W736" s="130"/>
      <c r="X736" s="131"/>
    </row>
    <row r="737" spans="1:26" ht="15.75" x14ac:dyDescent="0.25">
      <c r="A737" s="136"/>
      <c r="B737" s="170"/>
      <c r="C737" s="54"/>
      <c r="D737" s="53"/>
      <c r="E737" s="53"/>
      <c r="F737" s="132"/>
      <c r="H737" s="55"/>
      <c r="I737" s="55"/>
      <c r="J737" s="54"/>
      <c r="K737" s="56"/>
      <c r="L737" s="57"/>
      <c r="M737" s="54"/>
      <c r="N737" s="54" t="s">
        <v>60</v>
      </c>
      <c r="O737" s="54"/>
      <c r="P737" s="54"/>
      <c r="Q737" s="57"/>
      <c r="R737" s="58"/>
      <c r="S737" s="58"/>
      <c r="T737" s="58"/>
      <c r="U737" s="58"/>
      <c r="V737" s="58"/>
      <c r="W737" s="54"/>
      <c r="X737" s="54"/>
    </row>
    <row r="738" spans="1:26" ht="27" x14ac:dyDescent="0.35">
      <c r="A738" s="134" t="s">
        <v>6</v>
      </c>
      <c r="B738" s="122"/>
      <c r="C738" s="122"/>
      <c r="D738" s="122"/>
      <c r="E738" s="122"/>
      <c r="F738" s="122"/>
      <c r="H738" s="122"/>
      <c r="I738" s="122"/>
      <c r="J738" s="122"/>
      <c r="K738" s="122"/>
      <c r="L738" s="122"/>
      <c r="M738" s="122"/>
      <c r="N738" s="122"/>
      <c r="O738" s="122"/>
      <c r="P738" s="122"/>
      <c r="Q738" s="122"/>
      <c r="R738" s="122"/>
      <c r="S738" s="122"/>
      <c r="T738" s="122"/>
      <c r="U738" s="122"/>
      <c r="V738" s="122"/>
      <c r="W738" s="142"/>
      <c r="X738" s="122"/>
    </row>
    <row r="739" spans="1:26" ht="12" thickBot="1" x14ac:dyDescent="0.25">
      <c r="B739" s="2"/>
      <c r="C739" s="2"/>
      <c r="D739" s="2"/>
      <c r="E739" s="2"/>
      <c r="F739" s="59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 t="s">
        <v>60</v>
      </c>
      <c r="W739" s="2"/>
      <c r="X739" s="57"/>
    </row>
    <row r="740" spans="1:26" x14ac:dyDescent="0.2">
      <c r="A740" s="14"/>
      <c r="B740" s="15"/>
      <c r="C740" s="15"/>
      <c r="D740" s="15"/>
      <c r="E740" s="15"/>
      <c r="F740" s="15"/>
      <c r="G740" s="15"/>
      <c r="H740" s="15"/>
      <c r="I740" s="15"/>
      <c r="J740" s="15"/>
      <c r="K740" s="15"/>
      <c r="L740" s="15"/>
      <c r="M740" s="15"/>
      <c r="N740" s="15"/>
      <c r="O740" s="15"/>
      <c r="P740" s="15"/>
      <c r="Q740" s="15"/>
      <c r="R740" s="16"/>
      <c r="S740" s="16"/>
      <c r="T740" s="16"/>
      <c r="U740" s="16"/>
      <c r="V740" s="16"/>
      <c r="W740" s="15"/>
      <c r="X740" s="60" t="s">
        <v>60</v>
      </c>
    </row>
    <row r="741" spans="1:26" ht="13.5" thickBot="1" x14ac:dyDescent="0.25">
      <c r="A741" s="18"/>
      <c r="B741" s="61"/>
      <c r="C741" s="62"/>
      <c r="D741" s="63" t="s">
        <v>73</v>
      </c>
      <c r="E741" s="64"/>
      <c r="F741" s="64"/>
      <c r="G741" s="64"/>
      <c r="H741" s="61"/>
      <c r="I741" s="64"/>
      <c r="J741" s="64"/>
      <c r="K741" s="65" t="s">
        <v>74</v>
      </c>
      <c r="L741" s="64"/>
      <c r="M741" s="64"/>
      <c r="N741" s="64"/>
      <c r="O741" s="64"/>
      <c r="P741" s="64"/>
      <c r="Q741" s="138"/>
      <c r="R741" s="64"/>
      <c r="S741" s="64"/>
      <c r="T741" s="64"/>
      <c r="U741" s="64"/>
      <c r="V741" s="64"/>
      <c r="W741" s="66"/>
      <c r="X741" s="36" t="s">
        <v>60</v>
      </c>
    </row>
    <row r="742" spans="1:26" ht="12" x14ac:dyDescent="0.2">
      <c r="A742" s="67"/>
      <c r="B742" s="68" t="s">
        <v>11</v>
      </c>
      <c r="C742" s="68" t="s">
        <v>12</v>
      </c>
      <c r="D742" s="68" t="s">
        <v>13</v>
      </c>
      <c r="E742" s="68" t="s">
        <v>14</v>
      </c>
      <c r="F742" s="68" t="s">
        <v>15</v>
      </c>
      <c r="G742" s="69" t="s">
        <v>16</v>
      </c>
      <c r="H742" s="68" t="s">
        <v>17</v>
      </c>
      <c r="I742" s="70"/>
      <c r="J742" s="70"/>
      <c r="K742" s="70"/>
      <c r="L742" s="70"/>
      <c r="M742" s="68" t="s">
        <v>18</v>
      </c>
      <c r="N742" s="68" t="s">
        <v>19</v>
      </c>
      <c r="O742" s="68" t="s">
        <v>20</v>
      </c>
      <c r="P742" s="68" t="s">
        <v>21</v>
      </c>
      <c r="Q742" s="69" t="s">
        <v>16</v>
      </c>
      <c r="R742" s="203" t="s">
        <v>69</v>
      </c>
      <c r="S742" s="202" t="s">
        <v>126</v>
      </c>
      <c r="T742" s="202" t="s">
        <v>138</v>
      </c>
      <c r="U742" s="202" t="s">
        <v>134</v>
      </c>
      <c r="V742" s="202" t="s">
        <v>136</v>
      </c>
      <c r="W742" s="72" t="s">
        <v>7</v>
      </c>
      <c r="X742" s="73" t="s">
        <v>70</v>
      </c>
    </row>
    <row r="743" spans="1:26" ht="12.75" thickBot="1" x14ac:dyDescent="0.25">
      <c r="A743" s="75"/>
      <c r="B743" s="76" t="s">
        <v>23</v>
      </c>
      <c r="C743" s="76" t="s">
        <v>24</v>
      </c>
      <c r="D743" s="76" t="s">
        <v>25</v>
      </c>
      <c r="E743" s="76" t="s">
        <v>26</v>
      </c>
      <c r="F743" s="76" t="s">
        <v>27</v>
      </c>
      <c r="G743" s="77" t="s">
        <v>28</v>
      </c>
      <c r="H743" s="76" t="s">
        <v>29</v>
      </c>
      <c r="I743" s="76" t="s">
        <v>30</v>
      </c>
      <c r="J743" s="76" t="s">
        <v>31</v>
      </c>
      <c r="K743" s="76" t="s">
        <v>32</v>
      </c>
      <c r="L743" s="76" t="s">
        <v>33</v>
      </c>
      <c r="M743" s="76" t="s">
        <v>34</v>
      </c>
      <c r="N743" s="76" t="s">
        <v>35</v>
      </c>
      <c r="O743" s="76" t="s">
        <v>36</v>
      </c>
      <c r="P743" s="76" t="s">
        <v>37</v>
      </c>
      <c r="Q743" s="77" t="s">
        <v>28</v>
      </c>
      <c r="R743" s="204" t="s">
        <v>82</v>
      </c>
      <c r="S743" s="78" t="s">
        <v>130</v>
      </c>
      <c r="T743" s="78" t="s">
        <v>139</v>
      </c>
      <c r="U743" s="78" t="s">
        <v>135</v>
      </c>
      <c r="V743" s="78" t="s">
        <v>183</v>
      </c>
      <c r="W743" s="79" t="s">
        <v>10</v>
      </c>
      <c r="X743" s="80" t="s">
        <v>71</v>
      </c>
    </row>
    <row r="744" spans="1:26" x14ac:dyDescent="0.2">
      <c r="A744" s="18"/>
      <c r="B744" s="33"/>
      <c r="C744" s="33"/>
      <c r="D744" s="33"/>
      <c r="E744" s="33"/>
      <c r="F744" s="33"/>
      <c r="G744" s="34"/>
      <c r="H744" s="33"/>
      <c r="I744" s="33"/>
      <c r="J744" s="33"/>
      <c r="K744" s="33"/>
      <c r="L744" s="33"/>
      <c r="M744" s="33"/>
      <c r="N744" s="33"/>
      <c r="O744" s="33"/>
      <c r="P744" s="33"/>
      <c r="Q744" s="34"/>
      <c r="R744" s="205"/>
      <c r="S744" s="214"/>
      <c r="T744" s="214"/>
      <c r="U744" s="214"/>
      <c r="V744" s="35"/>
      <c r="W744" s="81"/>
      <c r="X744" s="36"/>
    </row>
    <row r="745" spans="1:26" ht="12.75" x14ac:dyDescent="0.2">
      <c r="A745" s="82" t="s">
        <v>41</v>
      </c>
      <c r="B745" s="38">
        <v>0</v>
      </c>
      <c r="C745" s="38">
        <v>24571.59</v>
      </c>
      <c r="D745" s="38">
        <v>307133.73</v>
      </c>
      <c r="E745" s="38">
        <v>337893.59</v>
      </c>
      <c r="F745" s="38">
        <v>170234.74</v>
      </c>
      <c r="G745" s="39">
        <f>SUM(B745:F745)</f>
        <v>839833.65</v>
      </c>
      <c r="H745" s="38">
        <v>199098.06</v>
      </c>
      <c r="I745" s="38">
        <v>140423.07999999999</v>
      </c>
      <c r="J745" s="38">
        <v>6451.92</v>
      </c>
      <c r="K745" s="38">
        <v>9324.43</v>
      </c>
      <c r="L745" s="38">
        <v>65944.490000000005</v>
      </c>
      <c r="M745" s="38">
        <v>10529.08</v>
      </c>
      <c r="N745" s="38">
        <v>0</v>
      </c>
      <c r="O745" s="38">
        <v>68617.37</v>
      </c>
      <c r="P745" s="38">
        <v>0</v>
      </c>
      <c r="Q745" s="39">
        <f>SUM(H745:P745)</f>
        <v>500388.43</v>
      </c>
      <c r="R745" s="39">
        <v>865552.19</v>
      </c>
      <c r="S745" s="39">
        <v>0</v>
      </c>
      <c r="T745" s="39">
        <v>0</v>
      </c>
      <c r="U745" s="39">
        <v>22456.240000000002</v>
      </c>
      <c r="V745" s="39">
        <v>0</v>
      </c>
      <c r="W745" s="83">
        <f>Q745+G745+R745+S745+T745+U745+V745</f>
        <v>2228230.5100000002</v>
      </c>
      <c r="X745" s="41"/>
      <c r="Z745" s="220">
        <f>W745-2228230.5</f>
        <v>1.0000000242143869E-2</v>
      </c>
    </row>
    <row r="746" spans="1:26" ht="12.75" x14ac:dyDescent="0.2">
      <c r="A746" s="82" t="s">
        <v>42</v>
      </c>
      <c r="B746" s="141">
        <f t="shared" ref="B746:W746" si="204">B731+B745-B697</f>
        <v>2.5465851649641991E-11</v>
      </c>
      <c r="C746" s="141">
        <f t="shared" si="204"/>
        <v>1183357.8417511999</v>
      </c>
      <c r="D746" s="141">
        <f t="shared" si="204"/>
        <v>3472778.7290001991</v>
      </c>
      <c r="E746" s="141">
        <f t="shared" si="204"/>
        <v>3122027.3636507993</v>
      </c>
      <c r="F746" s="141">
        <f t="shared" si="204"/>
        <v>1730288.052090999</v>
      </c>
      <c r="G746" s="172">
        <f t="shared" si="204"/>
        <v>9508451.9864932001</v>
      </c>
      <c r="H746" s="141">
        <f t="shared" si="204"/>
        <v>2388248.2500000009</v>
      </c>
      <c r="I746" s="141">
        <f t="shared" si="204"/>
        <v>1411070.0300000005</v>
      </c>
      <c r="J746" s="141">
        <f t="shared" si="204"/>
        <v>554115.90000000037</v>
      </c>
      <c r="K746" s="141">
        <f t="shared" si="204"/>
        <v>538886.47000000009</v>
      </c>
      <c r="L746" s="141">
        <f t="shared" si="204"/>
        <v>858532.93000000063</v>
      </c>
      <c r="M746" s="141">
        <f t="shared" si="204"/>
        <v>226417.5900000004</v>
      </c>
      <c r="N746" s="141">
        <f t="shared" si="204"/>
        <v>46110.310000000114</v>
      </c>
      <c r="O746" s="141">
        <f t="shared" si="204"/>
        <v>1010037.7999999993</v>
      </c>
      <c r="P746" s="141">
        <f t="shared" si="204"/>
        <v>84163.640000000174</v>
      </c>
      <c r="Q746" s="39">
        <f t="shared" si="204"/>
        <v>7117582.9199999906</v>
      </c>
      <c r="R746" s="172">
        <f t="shared" si="204"/>
        <v>7515943.4700000025</v>
      </c>
      <c r="S746" s="172">
        <f t="shared" si="204"/>
        <v>645087.59000000008</v>
      </c>
      <c r="T746" s="172">
        <f t="shared" si="204"/>
        <v>3.092281986027956E-11</v>
      </c>
      <c r="U746" s="172">
        <f t="shared" si="204"/>
        <v>122152.94000000009</v>
      </c>
      <c r="V746" s="172">
        <f>V731+V745-V697</f>
        <v>48841.47</v>
      </c>
      <c r="W746" s="83">
        <f t="shared" si="204"/>
        <v>24958060.376493204</v>
      </c>
      <c r="X746" s="41">
        <f>X731+W745</f>
        <v>389407542.17258453</v>
      </c>
    </row>
    <row r="747" spans="1:26" ht="12.75" x14ac:dyDescent="0.2">
      <c r="A747" s="85"/>
      <c r="B747" s="38"/>
      <c r="C747" s="38"/>
      <c r="D747" s="38"/>
      <c r="E747" s="38"/>
      <c r="F747" s="38"/>
      <c r="G747" s="39"/>
      <c r="H747" s="38"/>
      <c r="I747" s="38"/>
      <c r="J747" s="38"/>
      <c r="K747" s="38"/>
      <c r="L747" s="38"/>
      <c r="M747" s="38"/>
      <c r="N747" s="38"/>
      <c r="O747" s="38"/>
      <c r="P747" s="38"/>
      <c r="Q747" s="39" t="s">
        <v>60</v>
      </c>
      <c r="R747" s="47"/>
      <c r="S747" s="47"/>
      <c r="T747" s="47"/>
      <c r="U747" s="47"/>
      <c r="V747" s="43"/>
      <c r="W747" s="83"/>
      <c r="X747" s="41"/>
    </row>
    <row r="748" spans="1:26" ht="12.75" x14ac:dyDescent="0.2">
      <c r="A748" s="82" t="s">
        <v>43</v>
      </c>
      <c r="B748" s="38">
        <v>0</v>
      </c>
      <c r="C748" s="38">
        <v>38140.410000000003</v>
      </c>
      <c r="D748" s="38">
        <v>213750.39</v>
      </c>
      <c r="E748" s="38">
        <v>322462.39</v>
      </c>
      <c r="F748" s="38">
        <v>142167.6</v>
      </c>
      <c r="G748" s="39">
        <f>SUM(B748:F748)</f>
        <v>716520.79</v>
      </c>
      <c r="H748" s="38">
        <v>149670.63</v>
      </c>
      <c r="I748" s="38">
        <v>110349.08</v>
      </c>
      <c r="J748" s="38">
        <v>7518.34</v>
      </c>
      <c r="K748" s="38">
        <v>9721.34</v>
      </c>
      <c r="L748" s="38">
        <v>118237.79</v>
      </c>
      <c r="M748" s="38">
        <v>26212.25</v>
      </c>
      <c r="N748" s="38">
        <v>0</v>
      </c>
      <c r="O748" s="38">
        <v>76516.36</v>
      </c>
      <c r="P748" s="38">
        <v>0</v>
      </c>
      <c r="Q748" s="39">
        <f>SUM(H748:P748)</f>
        <v>498225.79000000004</v>
      </c>
      <c r="R748" s="39">
        <v>730269.53</v>
      </c>
      <c r="S748" s="39">
        <v>43901.760000000002</v>
      </c>
      <c r="T748" s="39">
        <v>0</v>
      </c>
      <c r="U748" s="39">
        <v>0</v>
      </c>
      <c r="V748" s="39">
        <v>0</v>
      </c>
      <c r="W748" s="83">
        <f>Q748+G748+R748+S748+T748+U748+V748</f>
        <v>1988917.87</v>
      </c>
      <c r="X748" s="41"/>
      <c r="Z748" s="220">
        <f>W748-1988917.87</f>
        <v>0</v>
      </c>
    </row>
    <row r="749" spans="1:26" ht="12.75" x14ac:dyDescent="0.2">
      <c r="A749" s="82" t="s">
        <v>42</v>
      </c>
      <c r="B749" s="141">
        <f t="shared" ref="B749:W749" si="205">B746+B748-B700</f>
        <v>2.5465851649641991E-11</v>
      </c>
      <c r="C749" s="141">
        <f t="shared" si="205"/>
        <v>1206913.8397387997</v>
      </c>
      <c r="D749" s="141">
        <f t="shared" si="205"/>
        <v>3516085.6126001994</v>
      </c>
      <c r="E749" s="141">
        <f t="shared" si="205"/>
        <v>3236685.0180481994</v>
      </c>
      <c r="F749" s="141">
        <f t="shared" si="205"/>
        <v>1747200.7444775992</v>
      </c>
      <c r="G749" s="39">
        <f t="shared" si="205"/>
        <v>9706885.2148647998</v>
      </c>
      <c r="H749" s="141">
        <f t="shared" si="205"/>
        <v>2439881.8600000008</v>
      </c>
      <c r="I749" s="141">
        <f t="shared" si="205"/>
        <v>1456955.2200000007</v>
      </c>
      <c r="J749" s="141">
        <f t="shared" si="205"/>
        <v>550861.3200000003</v>
      </c>
      <c r="K749" s="141">
        <f t="shared" si="205"/>
        <v>537466.34000000008</v>
      </c>
      <c r="L749" s="141">
        <f t="shared" si="205"/>
        <v>836561.2500000007</v>
      </c>
      <c r="M749" s="141">
        <f t="shared" si="205"/>
        <v>252629.8400000004</v>
      </c>
      <c r="N749" s="141">
        <f t="shared" si="205"/>
        <v>46110.310000000114</v>
      </c>
      <c r="O749" s="141">
        <f t="shared" si="205"/>
        <v>1086554.1599999995</v>
      </c>
      <c r="P749" s="141">
        <f t="shared" si="205"/>
        <v>84163.640000000174</v>
      </c>
      <c r="Q749" s="39">
        <f t="shared" si="205"/>
        <v>7291183.9399999902</v>
      </c>
      <c r="R749" s="39">
        <f t="shared" si="205"/>
        <v>8027203.8300000029</v>
      </c>
      <c r="S749" s="39">
        <f t="shared" si="205"/>
        <v>688989.35000000009</v>
      </c>
      <c r="T749" s="39">
        <f t="shared" si="205"/>
        <v>3.092281986027956E-11</v>
      </c>
      <c r="U749" s="39">
        <f t="shared" si="205"/>
        <v>122152.94000000009</v>
      </c>
      <c r="V749" s="39">
        <f t="shared" si="205"/>
        <v>36955.43</v>
      </c>
      <c r="W749" s="140">
        <f t="shared" si="205"/>
        <v>25873370.704864807</v>
      </c>
      <c r="X749" s="41">
        <f>W748+X746</f>
        <v>391396460.04258454</v>
      </c>
    </row>
    <row r="750" spans="1:26" ht="12.75" x14ac:dyDescent="0.2">
      <c r="A750" s="85"/>
      <c r="B750" s="44"/>
      <c r="C750" s="44"/>
      <c r="D750" s="44"/>
      <c r="E750" s="44"/>
      <c r="F750" s="44"/>
      <c r="G750" s="45"/>
      <c r="H750" s="44"/>
      <c r="I750" s="44"/>
      <c r="J750" s="44"/>
      <c r="K750" s="44"/>
      <c r="L750" s="44"/>
      <c r="M750" s="44"/>
      <c r="N750" s="44"/>
      <c r="O750" s="44"/>
      <c r="P750" s="44"/>
      <c r="Q750" s="45"/>
      <c r="R750" s="47"/>
      <c r="S750" s="47"/>
      <c r="T750" s="47"/>
      <c r="U750" s="47"/>
      <c r="V750" s="43"/>
      <c r="W750" s="86"/>
      <c r="X750" s="46"/>
    </row>
    <row r="751" spans="1:26" ht="12.75" x14ac:dyDescent="0.2">
      <c r="A751" s="82" t="s">
        <v>44</v>
      </c>
      <c r="B751" s="38">
        <v>0</v>
      </c>
      <c r="C751" s="38">
        <v>2263.69</v>
      </c>
      <c r="D751" s="38">
        <v>208079.38</v>
      </c>
      <c r="E751" s="38">
        <v>335985.93</v>
      </c>
      <c r="F751" s="38">
        <v>132817.35</v>
      </c>
      <c r="G751" s="39">
        <f>SUM(B751:F751)</f>
        <v>679146.35</v>
      </c>
      <c r="H751" s="38">
        <v>110839.8</v>
      </c>
      <c r="I751" s="38">
        <v>83992.85</v>
      </c>
      <c r="J751" s="38">
        <v>289.75</v>
      </c>
      <c r="K751" s="38">
        <v>845.44</v>
      </c>
      <c r="L751" s="38">
        <v>64053.37</v>
      </c>
      <c r="M751" s="38">
        <v>23277.07</v>
      </c>
      <c r="N751" s="38">
        <v>0</v>
      </c>
      <c r="O751" s="38">
        <v>121360.29</v>
      </c>
      <c r="P751" s="38">
        <v>0</v>
      </c>
      <c r="Q751" s="39">
        <f>SUM(H751:P751)</f>
        <v>404658.57</v>
      </c>
      <c r="R751" s="39">
        <v>650810.80000000005</v>
      </c>
      <c r="S751" s="39">
        <v>76262.28</v>
      </c>
      <c r="T751" s="39">
        <v>0</v>
      </c>
      <c r="U751" s="39">
        <v>13609.31</v>
      </c>
      <c r="V751" s="39">
        <v>0</v>
      </c>
      <c r="W751" s="83">
        <f>Q751+G751+R751+S751+T751+U751+V751</f>
        <v>1824487.31</v>
      </c>
      <c r="X751" s="41"/>
    </row>
    <row r="752" spans="1:26" ht="12.75" x14ac:dyDescent="0.2">
      <c r="A752" s="82" t="s">
        <v>42</v>
      </c>
      <c r="B752" s="141">
        <f t="shared" ref="B752:W752" si="206">B749+B751-B703</f>
        <v>2.5465851649641991E-11</v>
      </c>
      <c r="C752" s="141">
        <f t="shared" si="206"/>
        <v>1189450.9199999997</v>
      </c>
      <c r="D752" s="141">
        <f t="shared" si="206"/>
        <v>3530556.0099999993</v>
      </c>
      <c r="E752" s="141">
        <f t="shared" si="206"/>
        <v>3393018.5799999996</v>
      </c>
      <c r="F752" s="141">
        <f t="shared" si="206"/>
        <v>1782598.2219999994</v>
      </c>
      <c r="G752" s="39">
        <f t="shared" si="206"/>
        <v>9895623.7319999989</v>
      </c>
      <c r="H752" s="141">
        <f t="shared" si="206"/>
        <v>2406122.9600000004</v>
      </c>
      <c r="I752" s="141">
        <f t="shared" si="206"/>
        <v>1471029.7900000007</v>
      </c>
      <c r="J752" s="141">
        <f t="shared" si="206"/>
        <v>538544.88000000035</v>
      </c>
      <c r="K752" s="141">
        <f t="shared" si="206"/>
        <v>526103.39</v>
      </c>
      <c r="L752" s="141">
        <f t="shared" si="206"/>
        <v>836840.43000000063</v>
      </c>
      <c r="M752" s="141">
        <f t="shared" si="206"/>
        <v>275906.91000000038</v>
      </c>
      <c r="N752" s="141">
        <f t="shared" si="206"/>
        <v>46110.310000000114</v>
      </c>
      <c r="O752" s="141">
        <f t="shared" si="206"/>
        <v>1207914.4499999995</v>
      </c>
      <c r="P752" s="141">
        <f t="shared" si="206"/>
        <v>84163.640000000174</v>
      </c>
      <c r="Q752" s="39">
        <f t="shared" si="206"/>
        <v>7392736.7599999905</v>
      </c>
      <c r="R752" s="39">
        <f t="shared" si="206"/>
        <v>8373403.8600000031</v>
      </c>
      <c r="S752" s="39">
        <f t="shared" si="206"/>
        <v>710200.15000000014</v>
      </c>
      <c r="T752" s="39">
        <f t="shared" si="206"/>
        <v>3.092281986027956E-11</v>
      </c>
      <c r="U752" s="39">
        <f t="shared" si="206"/>
        <v>135762.25000000009</v>
      </c>
      <c r="V752" s="226">
        <f t="shared" si="206"/>
        <v>36955.43</v>
      </c>
      <c r="W752" s="83">
        <f t="shared" si="206"/>
        <v>26544682.182000007</v>
      </c>
      <c r="X752" s="41">
        <f>W751+X749</f>
        <v>393220947.35258454</v>
      </c>
    </row>
    <row r="753" spans="1:24" ht="12.75" x14ac:dyDescent="0.2">
      <c r="A753" s="85"/>
      <c r="B753" s="43"/>
      <c r="C753" s="43"/>
      <c r="D753" s="43"/>
      <c r="E753" s="43"/>
      <c r="F753" s="43"/>
      <c r="G753" s="47"/>
      <c r="H753" s="43"/>
      <c r="I753" s="43"/>
      <c r="J753" s="43"/>
      <c r="K753" s="43"/>
      <c r="L753" s="43"/>
      <c r="M753" s="43"/>
      <c r="N753" s="43"/>
      <c r="O753" s="43"/>
      <c r="P753" s="43"/>
      <c r="Q753" s="47"/>
      <c r="R753" s="47"/>
      <c r="S753" s="47"/>
      <c r="T753" s="47"/>
      <c r="U753" s="47"/>
      <c r="V753" s="43"/>
      <c r="W753" s="87"/>
      <c r="X753" s="46"/>
    </row>
    <row r="754" spans="1:24" ht="12.75" x14ac:dyDescent="0.2">
      <c r="A754" s="82" t="s">
        <v>45</v>
      </c>
      <c r="B754" s="38">
        <v>0</v>
      </c>
      <c r="C754" s="38">
        <v>0</v>
      </c>
      <c r="D754" s="38">
        <v>339489.43</v>
      </c>
      <c r="E754" s="38">
        <v>251596.74</v>
      </c>
      <c r="F754" s="38">
        <v>50044.99</v>
      </c>
      <c r="G754" s="39">
        <f>SUM(B754:F754)</f>
        <v>641131.15999999992</v>
      </c>
      <c r="H754" s="38">
        <v>188832.72</v>
      </c>
      <c r="I754" s="38">
        <v>145717.18</v>
      </c>
      <c r="J754" s="38">
        <v>0</v>
      </c>
      <c r="K754" s="38">
        <v>0</v>
      </c>
      <c r="L754" s="38">
        <v>124955.45</v>
      </c>
      <c r="M754" s="38">
        <v>20111.599999999999</v>
      </c>
      <c r="N754" s="38">
        <v>0</v>
      </c>
      <c r="O754" s="38">
        <v>119031.59</v>
      </c>
      <c r="P754" s="38">
        <v>0</v>
      </c>
      <c r="Q754" s="39">
        <f>SUM(H754:P754)</f>
        <v>598648.54</v>
      </c>
      <c r="R754" s="39">
        <v>332344.95199999999</v>
      </c>
      <c r="S754" s="39">
        <v>0</v>
      </c>
      <c r="T754" s="39">
        <v>0</v>
      </c>
      <c r="U754" s="39">
        <v>29507.01</v>
      </c>
      <c r="V754" s="39">
        <v>0</v>
      </c>
      <c r="W754" s="83">
        <f>Q754+G754+R754+S754+T754+U754+V754</f>
        <v>1601631.662</v>
      </c>
      <c r="X754" s="41"/>
    </row>
    <row r="755" spans="1:24" ht="12.75" x14ac:dyDescent="0.2">
      <c r="A755" s="82" t="s">
        <v>42</v>
      </c>
      <c r="B755" s="141">
        <f t="shared" ref="B755:W755" si="207">B752+B754-B706</f>
        <v>2.5465851649641991E-11</v>
      </c>
      <c r="C755" s="141">
        <f t="shared" si="207"/>
        <v>1053645.2299999997</v>
      </c>
      <c r="D755" s="141">
        <f t="shared" si="207"/>
        <v>3572462.1099999994</v>
      </c>
      <c r="E755" s="141">
        <f t="shared" si="207"/>
        <v>3447427.4299999992</v>
      </c>
      <c r="F755" s="141">
        <f t="shared" si="207"/>
        <v>1701006.9619999994</v>
      </c>
      <c r="G755" s="39">
        <f t="shared" si="207"/>
        <v>9774541.7319999989</v>
      </c>
      <c r="H755" s="141">
        <f t="shared" si="207"/>
        <v>2399865.1400000006</v>
      </c>
      <c r="I755" s="141">
        <f t="shared" si="207"/>
        <v>1493384.4300000006</v>
      </c>
      <c r="J755" s="141">
        <f t="shared" si="207"/>
        <v>479269.34000000037</v>
      </c>
      <c r="K755" s="141">
        <f t="shared" si="207"/>
        <v>466470.36</v>
      </c>
      <c r="L755" s="141">
        <f t="shared" si="207"/>
        <v>959082.03000000061</v>
      </c>
      <c r="M755" s="141">
        <f t="shared" si="207"/>
        <v>281848.57000000036</v>
      </c>
      <c r="N755" s="141">
        <f t="shared" si="207"/>
        <v>46110.310000000114</v>
      </c>
      <c r="O755" s="141">
        <f t="shared" si="207"/>
        <v>1326946.0399999996</v>
      </c>
      <c r="P755" s="141">
        <f t="shared" si="207"/>
        <v>84163.640000000174</v>
      </c>
      <c r="Q755" s="39">
        <f t="shared" si="207"/>
        <v>7537139.8599999901</v>
      </c>
      <c r="R755" s="39">
        <f t="shared" si="207"/>
        <v>8525887.3620000035</v>
      </c>
      <c r="S755" s="39">
        <f t="shared" si="207"/>
        <v>614388.33000000007</v>
      </c>
      <c r="T755" s="39">
        <f t="shared" si="207"/>
        <v>3.092281986027956E-11</v>
      </c>
      <c r="U755" s="39">
        <f t="shared" si="207"/>
        <v>150887.6400000001</v>
      </c>
      <c r="V755" s="39">
        <f t="shared" si="207"/>
        <v>36955.43</v>
      </c>
      <c r="W755" s="140">
        <f t="shared" si="207"/>
        <v>26639800.35400001</v>
      </c>
      <c r="X755" s="41">
        <f>W754+X752</f>
        <v>394822579.01458454</v>
      </c>
    </row>
    <row r="756" spans="1:24" ht="12.75" x14ac:dyDescent="0.2">
      <c r="A756" s="85"/>
      <c r="B756" s="44"/>
      <c r="C756" s="44"/>
      <c r="D756" s="44"/>
      <c r="E756" s="44"/>
      <c r="F756" s="44"/>
      <c r="G756" s="45"/>
      <c r="H756" s="44"/>
      <c r="I756" s="44"/>
      <c r="J756" s="44"/>
      <c r="K756" s="44"/>
      <c r="L756" s="44"/>
      <c r="M756" s="44"/>
      <c r="N756" s="44"/>
      <c r="O756" s="44"/>
      <c r="P756" s="44"/>
      <c r="Q756" s="45"/>
      <c r="R756" s="47"/>
      <c r="S756" s="47"/>
      <c r="T756" s="47"/>
      <c r="U756" s="47"/>
      <c r="V756" s="43"/>
      <c r="W756" s="86"/>
      <c r="X756" s="46"/>
    </row>
    <row r="757" spans="1:24" ht="12.75" x14ac:dyDescent="0.2">
      <c r="A757" s="82" t="s">
        <v>46</v>
      </c>
      <c r="B757" s="38">
        <v>0</v>
      </c>
      <c r="C757" s="38">
        <v>0</v>
      </c>
      <c r="D757" s="38">
        <v>333932.21000000002</v>
      </c>
      <c r="E757" s="38">
        <v>339548.98</v>
      </c>
      <c r="F757" s="38">
        <v>138853.69</v>
      </c>
      <c r="G757" s="39">
        <f>SUM(B757:F757)</f>
        <v>812334.87999999989</v>
      </c>
      <c r="H757" s="38">
        <v>181455.25</v>
      </c>
      <c r="I757" s="38">
        <v>135810.45000000001</v>
      </c>
      <c r="J757" s="38">
        <v>0</v>
      </c>
      <c r="K757" s="38">
        <v>0</v>
      </c>
      <c r="L757" s="38">
        <v>123010.13</v>
      </c>
      <c r="M757" s="38">
        <v>24154.04</v>
      </c>
      <c r="N757" s="38">
        <v>0</v>
      </c>
      <c r="O757" s="38">
        <v>95768.24</v>
      </c>
      <c r="P757" s="38">
        <v>0</v>
      </c>
      <c r="Q757" s="39">
        <f>SUM(H757:P757)</f>
        <v>560198.11</v>
      </c>
      <c r="R757" s="39">
        <v>224176.99</v>
      </c>
      <c r="S757" s="39">
        <v>31706.84</v>
      </c>
      <c r="T757" s="39">
        <v>0</v>
      </c>
      <c r="U757" s="39">
        <v>12934.38</v>
      </c>
      <c r="V757" s="39">
        <v>0</v>
      </c>
      <c r="W757" s="83">
        <f>Q757+G757+R757+S757+T757+U757+V757</f>
        <v>1641351.1999999997</v>
      </c>
      <c r="X757" s="41"/>
    </row>
    <row r="758" spans="1:24" ht="12.75" x14ac:dyDescent="0.2">
      <c r="A758" s="82" t="s">
        <v>42</v>
      </c>
      <c r="B758" s="141">
        <f t="shared" ref="B758:W758" si="208">B755+B757-B709</f>
        <v>2.5465851649641991E-11</v>
      </c>
      <c r="C758" s="141">
        <f t="shared" si="208"/>
        <v>885573.09999999974</v>
      </c>
      <c r="D758" s="141">
        <f t="shared" si="208"/>
        <v>3567331.9199999995</v>
      </c>
      <c r="E758" s="141">
        <f t="shared" si="208"/>
        <v>3603887.8099999991</v>
      </c>
      <c r="F758" s="141">
        <f t="shared" si="208"/>
        <v>1723535.7119999994</v>
      </c>
      <c r="G758" s="39">
        <f t="shared" si="208"/>
        <v>9780328.5419999994</v>
      </c>
      <c r="H758" s="141">
        <f t="shared" si="208"/>
        <v>2423707.6700000004</v>
      </c>
      <c r="I758" s="141">
        <f t="shared" si="208"/>
        <v>1531342.6500000006</v>
      </c>
      <c r="J758" s="141">
        <f t="shared" si="208"/>
        <v>421724.20000000036</v>
      </c>
      <c r="K758" s="141">
        <f t="shared" si="208"/>
        <v>409082.31</v>
      </c>
      <c r="L758" s="141">
        <f t="shared" si="208"/>
        <v>965048.03000000061</v>
      </c>
      <c r="M758" s="141">
        <f t="shared" si="208"/>
        <v>281878.76000000036</v>
      </c>
      <c r="N758" s="141">
        <f t="shared" si="208"/>
        <v>46110.310000000114</v>
      </c>
      <c r="O758" s="141">
        <f t="shared" si="208"/>
        <v>1414327.4599999995</v>
      </c>
      <c r="P758" s="141">
        <f t="shared" si="208"/>
        <v>70175.920000000173</v>
      </c>
      <c r="Q758" s="39">
        <f t="shared" si="208"/>
        <v>7563397.3099999903</v>
      </c>
      <c r="R758" s="39">
        <f t="shared" si="208"/>
        <v>8533582.9720000029</v>
      </c>
      <c r="S758" s="39">
        <f t="shared" si="208"/>
        <v>646095.17000000004</v>
      </c>
      <c r="T758" s="39">
        <f t="shared" si="208"/>
        <v>3.092281986027956E-11</v>
      </c>
      <c r="U758" s="39">
        <f t="shared" si="208"/>
        <v>163822.02000000011</v>
      </c>
      <c r="V758" s="39">
        <f t="shared" si="208"/>
        <v>36955.43</v>
      </c>
      <c r="W758" s="140">
        <f t="shared" si="208"/>
        <v>26724181.444000009</v>
      </c>
      <c r="X758" s="41">
        <f>W757+X755</f>
        <v>396463930.21458453</v>
      </c>
    </row>
    <row r="759" spans="1:24" ht="12.75" x14ac:dyDescent="0.2">
      <c r="A759" s="85"/>
      <c r="B759" s="44"/>
      <c r="C759" s="44"/>
      <c r="D759" s="44"/>
      <c r="E759" s="44"/>
      <c r="F759" s="44"/>
      <c r="G759" s="45"/>
      <c r="H759" s="44"/>
      <c r="I759" s="44"/>
      <c r="J759" s="44"/>
      <c r="K759" s="44"/>
      <c r="L759" s="44"/>
      <c r="M759" s="44"/>
      <c r="N759" s="44"/>
      <c r="O759" s="44"/>
      <c r="P759" s="44"/>
      <c r="Q759" s="45"/>
      <c r="R759" s="47"/>
      <c r="S759" s="47"/>
      <c r="T759" s="47"/>
      <c r="U759" s="47"/>
      <c r="V759" s="43"/>
      <c r="W759" s="86"/>
      <c r="X759" s="46"/>
    </row>
    <row r="760" spans="1:24" ht="12.75" x14ac:dyDescent="0.2">
      <c r="A760" s="82" t="s">
        <v>47</v>
      </c>
      <c r="B760" s="38">
        <v>18231.5</v>
      </c>
      <c r="C760" s="38">
        <v>0</v>
      </c>
      <c r="D760" s="38">
        <v>322848.51</v>
      </c>
      <c r="E760" s="38">
        <v>316888.14</v>
      </c>
      <c r="F760" s="38">
        <v>139509</v>
      </c>
      <c r="G760" s="39">
        <f>SUM(B760:F760)</f>
        <v>797477.15</v>
      </c>
      <c r="H760" s="38">
        <v>278488.67</v>
      </c>
      <c r="I760" s="38">
        <v>170432.16</v>
      </c>
      <c r="J760" s="38">
        <v>17431.75</v>
      </c>
      <c r="K760" s="38">
        <v>0</v>
      </c>
      <c r="L760" s="38">
        <v>141012.85</v>
      </c>
      <c r="M760" s="38">
        <v>37177.730000000003</v>
      </c>
      <c r="N760" s="38">
        <v>0</v>
      </c>
      <c r="O760" s="38">
        <v>117449.26</v>
      </c>
      <c r="P760" s="38">
        <v>0</v>
      </c>
      <c r="Q760" s="39">
        <f>SUM(H760:P760)</f>
        <v>761992.41999999993</v>
      </c>
      <c r="R760" s="39">
        <v>438292.52</v>
      </c>
      <c r="S760" s="39">
        <v>48270.400000000001</v>
      </c>
      <c r="T760" s="39">
        <v>0</v>
      </c>
      <c r="U760" s="39">
        <v>0</v>
      </c>
      <c r="V760" s="39">
        <f>-16617.15+5962.89</f>
        <v>-10654.260000000002</v>
      </c>
      <c r="W760" s="83">
        <f>Q760+G760+R760+S760+T760+U760+V760</f>
        <v>2035378.2299999997</v>
      </c>
      <c r="X760" s="41"/>
    </row>
    <row r="761" spans="1:24" ht="12.75" x14ac:dyDescent="0.2">
      <c r="A761" s="82" t="s">
        <v>42</v>
      </c>
      <c r="B761" s="141">
        <f t="shared" ref="B761:W761" si="209">B758+B760-B712</f>
        <v>18231.500000000025</v>
      </c>
      <c r="C761" s="141">
        <f t="shared" si="209"/>
        <v>718644.9299999997</v>
      </c>
      <c r="D761" s="141">
        <f t="shared" si="209"/>
        <v>3562390.9299999997</v>
      </c>
      <c r="E761" s="141">
        <f t="shared" si="209"/>
        <v>3652355.4499999993</v>
      </c>
      <c r="F761" s="141">
        <f t="shared" si="209"/>
        <v>1724751.1119999993</v>
      </c>
      <c r="G761" s="39">
        <f t="shared" si="209"/>
        <v>9676373.9220000003</v>
      </c>
      <c r="H761" s="141">
        <f t="shared" si="209"/>
        <v>2476963.12</v>
      </c>
      <c r="I761" s="141">
        <f t="shared" si="209"/>
        <v>1568230.9500000007</v>
      </c>
      <c r="J761" s="141">
        <f t="shared" si="209"/>
        <v>355997.34000000037</v>
      </c>
      <c r="K761" s="141">
        <f t="shared" si="209"/>
        <v>325163.91000000003</v>
      </c>
      <c r="L761" s="141">
        <f t="shared" si="209"/>
        <v>955711.91000000061</v>
      </c>
      <c r="M761" s="141">
        <f t="shared" si="209"/>
        <v>290304.77000000037</v>
      </c>
      <c r="N761" s="141">
        <f t="shared" si="209"/>
        <v>46110.310000000114</v>
      </c>
      <c r="O761" s="141">
        <f t="shared" si="209"/>
        <v>1380268.6899999995</v>
      </c>
      <c r="P761" s="141">
        <f t="shared" si="209"/>
        <v>70175.920000000173</v>
      </c>
      <c r="Q761" s="39">
        <f t="shared" si="209"/>
        <v>7468926.9199999906</v>
      </c>
      <c r="R761" s="39">
        <f t="shared" si="209"/>
        <v>8682706.8120000027</v>
      </c>
      <c r="S761" s="39">
        <f t="shared" si="209"/>
        <v>694365.57000000007</v>
      </c>
      <c r="T761" s="39">
        <f t="shared" si="209"/>
        <v>3.092281986027956E-11</v>
      </c>
      <c r="U761" s="39">
        <f t="shared" si="209"/>
        <v>141820.02000000011</v>
      </c>
      <c r="V761" s="39">
        <f t="shared" si="209"/>
        <v>26301.17</v>
      </c>
      <c r="W761" s="140">
        <f t="shared" si="209"/>
        <v>26690494.414000008</v>
      </c>
      <c r="X761" s="41">
        <f>W760+X758</f>
        <v>398499308.44458455</v>
      </c>
    </row>
    <row r="762" spans="1:24" ht="12.75" x14ac:dyDescent="0.2">
      <c r="A762" s="85"/>
      <c r="B762" s="43"/>
      <c r="C762" s="43"/>
      <c r="D762" s="43"/>
      <c r="E762" s="43"/>
      <c r="F762" s="43"/>
      <c r="G762" s="47"/>
      <c r="H762" s="43"/>
      <c r="I762" s="43"/>
      <c r="J762" s="43"/>
      <c r="K762" s="43"/>
      <c r="L762" s="43"/>
      <c r="M762" s="43"/>
      <c r="N762" s="43"/>
      <c r="O762" s="43"/>
      <c r="P762" s="43"/>
      <c r="Q762" s="47"/>
      <c r="R762" s="47"/>
      <c r="S762" s="47"/>
      <c r="T762" s="47"/>
      <c r="U762" s="47"/>
      <c r="V762" s="43"/>
      <c r="W762" s="87"/>
      <c r="X762" s="46"/>
    </row>
    <row r="763" spans="1:24" ht="12.75" x14ac:dyDescent="0.2">
      <c r="A763" s="82" t="s">
        <v>48</v>
      </c>
      <c r="B763" s="38">
        <v>0</v>
      </c>
      <c r="C763" s="38">
        <v>104091.51</v>
      </c>
      <c r="D763" s="38">
        <v>331722.34000000003</v>
      </c>
      <c r="E763" s="38">
        <v>314437.52</v>
      </c>
      <c r="F763" s="38">
        <v>151707.29999999999</v>
      </c>
      <c r="G763" s="39">
        <f>SUM(B763:F763)</f>
        <v>901958.67000000016</v>
      </c>
      <c r="H763" s="38">
        <v>215497.58</v>
      </c>
      <c r="I763" s="38">
        <v>124347.45</v>
      </c>
      <c r="J763" s="38">
        <v>79733.179999999993</v>
      </c>
      <c r="K763" s="38">
        <v>66774.179999999993</v>
      </c>
      <c r="L763" s="38">
        <v>117119.39</v>
      </c>
      <c r="M763" s="38">
        <v>37151.35</v>
      </c>
      <c r="N763" s="38">
        <v>0</v>
      </c>
      <c r="O763" s="38">
        <v>129385.02</v>
      </c>
      <c r="P763" s="38">
        <v>44023.37</v>
      </c>
      <c r="Q763" s="39">
        <f>SUM(H763:P763)</f>
        <v>814031.5199999999</v>
      </c>
      <c r="R763" s="39">
        <v>880157.02</v>
      </c>
      <c r="S763" s="39">
        <v>113953.12</v>
      </c>
      <c r="T763" s="39">
        <v>0</v>
      </c>
      <c r="U763" s="39">
        <v>0</v>
      </c>
      <c r="V763" s="39">
        <v>0</v>
      </c>
      <c r="W763" s="83">
        <f>Q763+G763+R763+S763+T763+U763+V763</f>
        <v>2710100.33</v>
      </c>
      <c r="X763" s="41"/>
    </row>
    <row r="764" spans="1:24" ht="12.75" x14ac:dyDescent="0.2">
      <c r="A764" s="82" t="s">
        <v>42</v>
      </c>
      <c r="B764" s="141">
        <f t="shared" ref="B764:W764" si="210">B761+B763-B715</f>
        <v>18231.500000000025</v>
      </c>
      <c r="C764" s="141">
        <f t="shared" si="210"/>
        <v>657466.47999999975</v>
      </c>
      <c r="D764" s="141">
        <f t="shared" si="210"/>
        <v>3557284.8</v>
      </c>
      <c r="E764" s="141">
        <f t="shared" si="210"/>
        <v>3656570.3199999994</v>
      </c>
      <c r="F764" s="141">
        <f t="shared" si="210"/>
        <v>1722426.4919999994</v>
      </c>
      <c r="G764" s="39">
        <f t="shared" si="210"/>
        <v>9611979.5920000002</v>
      </c>
      <c r="H764" s="141">
        <f t="shared" si="210"/>
        <v>2435686.9000000004</v>
      </c>
      <c r="I764" s="141">
        <f t="shared" si="210"/>
        <v>1536207.6300000006</v>
      </c>
      <c r="J764" s="141">
        <f t="shared" si="210"/>
        <v>355449.22000000038</v>
      </c>
      <c r="K764" s="141">
        <f t="shared" si="210"/>
        <v>310172.06000000006</v>
      </c>
      <c r="L764" s="141">
        <f t="shared" si="210"/>
        <v>943670.95000000054</v>
      </c>
      <c r="M764" s="141">
        <f t="shared" si="210"/>
        <v>296948.61000000034</v>
      </c>
      <c r="N764" s="141">
        <f t="shared" si="210"/>
        <v>46110.310000000114</v>
      </c>
      <c r="O764" s="141">
        <f t="shared" si="210"/>
        <v>1356438.3799999994</v>
      </c>
      <c r="P764" s="141">
        <f t="shared" si="210"/>
        <v>114199.29000000018</v>
      </c>
      <c r="Q764" s="39">
        <f t="shared" si="210"/>
        <v>7394883.3499999903</v>
      </c>
      <c r="R764" s="39">
        <f t="shared" si="210"/>
        <v>8755560.1820000019</v>
      </c>
      <c r="S764" s="39">
        <f t="shared" si="210"/>
        <v>808318.69000000006</v>
      </c>
      <c r="T764" s="39">
        <f t="shared" si="210"/>
        <v>3.092281986027956E-11</v>
      </c>
      <c r="U764" s="39">
        <f t="shared" si="210"/>
        <v>141820.02000000011</v>
      </c>
      <c r="V764" s="39">
        <f t="shared" si="210"/>
        <v>26301.17</v>
      </c>
      <c r="W764" s="140">
        <f t="shared" si="210"/>
        <v>26738863.004000012</v>
      </c>
      <c r="X764" s="41">
        <f>W763+X761</f>
        <v>401209408.77458453</v>
      </c>
    </row>
    <row r="765" spans="1:24" ht="12.75" x14ac:dyDescent="0.2">
      <c r="A765" s="85"/>
      <c r="B765" s="44"/>
      <c r="C765" s="44"/>
      <c r="D765" s="44"/>
      <c r="E765" s="44"/>
      <c r="F765" s="44"/>
      <c r="G765" s="45"/>
      <c r="H765" s="44"/>
      <c r="I765" s="44"/>
      <c r="J765" s="44"/>
      <c r="K765" s="44"/>
      <c r="L765" s="44"/>
      <c r="M765" s="44"/>
      <c r="N765" s="44"/>
      <c r="O765" s="44"/>
      <c r="P765" s="44"/>
      <c r="Q765" s="45"/>
      <c r="R765" s="47"/>
      <c r="S765" s="47"/>
      <c r="T765" s="47"/>
      <c r="U765" s="47"/>
      <c r="V765" s="43"/>
      <c r="W765" s="86"/>
      <c r="X765" s="46"/>
    </row>
    <row r="766" spans="1:24" ht="12.75" x14ac:dyDescent="0.2">
      <c r="A766" s="82" t="s">
        <v>49</v>
      </c>
      <c r="B766" s="38">
        <v>0</v>
      </c>
      <c r="C766" s="38">
        <v>159087.06</v>
      </c>
      <c r="D766" s="38">
        <v>335124.8</v>
      </c>
      <c r="E766" s="38">
        <v>290315</v>
      </c>
      <c r="F766" s="38">
        <v>105836.57</v>
      </c>
      <c r="G766" s="39">
        <f>SUM(B766:F766)</f>
        <v>890363.42999999993</v>
      </c>
      <c r="H766" s="38">
        <v>244673.78</v>
      </c>
      <c r="I766" s="38">
        <v>133206.76999999999</v>
      </c>
      <c r="J766" s="38">
        <v>84122.9</v>
      </c>
      <c r="K766" s="38">
        <v>72385.440000000002</v>
      </c>
      <c r="L766" s="38">
        <v>122439.95</v>
      </c>
      <c r="M766" s="38">
        <v>35553.089999999997</v>
      </c>
      <c r="N766" s="38">
        <v>0</v>
      </c>
      <c r="O766" s="38">
        <v>152586.5</v>
      </c>
      <c r="P766" s="38">
        <v>83187.69</v>
      </c>
      <c r="Q766" s="39">
        <f>SUM(H766:P766)</f>
        <v>928156.11999999988</v>
      </c>
      <c r="R766" s="39">
        <v>927145.41</v>
      </c>
      <c r="S766" s="39">
        <v>128511.64</v>
      </c>
      <c r="T766" s="39">
        <v>0</v>
      </c>
      <c r="U766" s="39">
        <v>0</v>
      </c>
      <c r="V766" s="39">
        <v>0</v>
      </c>
      <c r="W766" s="83">
        <f>Q766+G766+R766+S766+T766+U766+V766</f>
        <v>2874176.6</v>
      </c>
      <c r="X766" s="41"/>
    </row>
    <row r="767" spans="1:24" ht="12.75" x14ac:dyDescent="0.2">
      <c r="A767" s="82" t="s">
        <v>42</v>
      </c>
      <c r="B767" s="141">
        <f t="shared" ref="B767:W767" si="211">B764+B766-B718</f>
        <v>18231.500000000025</v>
      </c>
      <c r="C767" s="141">
        <f t="shared" si="211"/>
        <v>667090.39999999979</v>
      </c>
      <c r="D767" s="141">
        <f t="shared" si="211"/>
        <v>3557169.5599999996</v>
      </c>
      <c r="E767" s="141">
        <f t="shared" si="211"/>
        <v>3652184.7199999993</v>
      </c>
      <c r="F767" s="141">
        <f t="shared" si="211"/>
        <v>1666880.7299999995</v>
      </c>
      <c r="G767" s="39">
        <f t="shared" si="211"/>
        <v>9561556.9100000001</v>
      </c>
      <c r="H767" s="141">
        <f t="shared" si="211"/>
        <v>2418184.37</v>
      </c>
      <c r="I767" s="141">
        <f t="shared" si="211"/>
        <v>1487588.9900000007</v>
      </c>
      <c r="J767" s="141">
        <f t="shared" si="211"/>
        <v>359109.48000000033</v>
      </c>
      <c r="K767" s="141">
        <f t="shared" si="211"/>
        <v>305844.14000000007</v>
      </c>
      <c r="L767" s="141">
        <f t="shared" si="211"/>
        <v>1017211.8200000006</v>
      </c>
      <c r="M767" s="141">
        <f t="shared" si="211"/>
        <v>293295.36000000034</v>
      </c>
      <c r="N767" s="141">
        <f t="shared" si="211"/>
        <v>24645.940000000115</v>
      </c>
      <c r="O767" s="141">
        <f t="shared" si="211"/>
        <v>1345655.3999999994</v>
      </c>
      <c r="P767" s="141">
        <f t="shared" si="211"/>
        <v>197386.98000000019</v>
      </c>
      <c r="Q767" s="39">
        <f t="shared" si="211"/>
        <v>7448922.4799999902</v>
      </c>
      <c r="R767" s="39">
        <f t="shared" si="211"/>
        <v>8903168.5820000023</v>
      </c>
      <c r="S767" s="39">
        <f t="shared" si="211"/>
        <v>936830.33000000007</v>
      </c>
      <c r="T767" s="39">
        <f t="shared" si="211"/>
        <v>3.092281986027956E-11</v>
      </c>
      <c r="U767" s="39">
        <f t="shared" si="211"/>
        <v>141820.02000000011</v>
      </c>
      <c r="V767" s="39">
        <f t="shared" si="211"/>
        <v>26301.17</v>
      </c>
      <c r="W767" s="140">
        <f t="shared" si="211"/>
        <v>27018599.492000014</v>
      </c>
      <c r="X767" s="41">
        <f>W766+X764</f>
        <v>404083585.37458456</v>
      </c>
    </row>
    <row r="768" spans="1:24" ht="12.75" x14ac:dyDescent="0.2">
      <c r="A768" s="85"/>
      <c r="B768" s="43"/>
      <c r="C768" s="43"/>
      <c r="D768" s="43"/>
      <c r="E768" s="43"/>
      <c r="F768" s="43"/>
      <c r="G768" s="47"/>
      <c r="H768" s="43"/>
      <c r="I768" s="43"/>
      <c r="J768" s="43"/>
      <c r="K768" s="43"/>
      <c r="L768" s="43"/>
      <c r="M768" s="43"/>
      <c r="N768" s="43"/>
      <c r="O768" s="43"/>
      <c r="P768" s="43"/>
      <c r="Q768" s="47"/>
      <c r="R768" s="47"/>
      <c r="S768" s="47"/>
      <c r="T768" s="47"/>
      <c r="U768" s="47"/>
      <c r="V768" s="43"/>
      <c r="W768" s="87"/>
      <c r="X768" s="46"/>
    </row>
    <row r="769" spans="1:24" ht="12.75" x14ac:dyDescent="0.2">
      <c r="A769" s="82" t="s">
        <v>50</v>
      </c>
      <c r="B769" s="38">
        <v>1088.45</v>
      </c>
      <c r="C769" s="38">
        <v>132922.54999999999</v>
      </c>
      <c r="D769" s="38">
        <v>209336.03</v>
      </c>
      <c r="E769" s="38">
        <v>237475.11</v>
      </c>
      <c r="F769" s="38">
        <v>92539.22</v>
      </c>
      <c r="G769" s="39">
        <f>SUM(B769:F769)</f>
        <v>673361.36</v>
      </c>
      <c r="H769" s="38">
        <v>247774.96</v>
      </c>
      <c r="I769" s="38">
        <v>185654.36</v>
      </c>
      <c r="J769" s="38">
        <v>70492.3</v>
      </c>
      <c r="K769" s="38">
        <v>61644.65</v>
      </c>
      <c r="L769" s="38">
        <v>137324.01999999999</v>
      </c>
      <c r="M769" s="38">
        <v>35011.160000000003</v>
      </c>
      <c r="N769" s="38">
        <v>0</v>
      </c>
      <c r="O769" s="38">
        <v>146066.21</v>
      </c>
      <c r="P769" s="38">
        <v>71758.94</v>
      </c>
      <c r="Q769" s="39">
        <f>SUM(H769:P769)</f>
        <v>955726.59999999986</v>
      </c>
      <c r="R769" s="39">
        <v>856075.59</v>
      </c>
      <c r="S769" s="39">
        <v>198454.76</v>
      </c>
      <c r="T769" s="39">
        <v>0</v>
      </c>
      <c r="U769" s="39">
        <v>0</v>
      </c>
      <c r="V769" s="39">
        <v>0</v>
      </c>
      <c r="W769" s="83">
        <f>Q769+G769+R769+S769+T769+U769+V769</f>
        <v>2683618.3099999996</v>
      </c>
      <c r="X769" s="41"/>
    </row>
    <row r="770" spans="1:24" ht="12.75" x14ac:dyDescent="0.2">
      <c r="A770" s="82" t="s">
        <v>42</v>
      </c>
      <c r="B770" s="141">
        <f t="shared" ref="B770:W770" si="212">B767+B769-B721</f>
        <v>19319.950000000026</v>
      </c>
      <c r="C770" s="141">
        <f t="shared" si="212"/>
        <v>659953.1799999997</v>
      </c>
      <c r="D770" s="141">
        <f t="shared" si="212"/>
        <v>3496673.1499999994</v>
      </c>
      <c r="E770" s="141">
        <f t="shared" si="212"/>
        <v>3604230.6999999993</v>
      </c>
      <c r="F770" s="141">
        <f t="shared" si="212"/>
        <v>1603931.3299999996</v>
      </c>
      <c r="G770" s="39">
        <f t="shared" si="212"/>
        <v>9384108.3099999987</v>
      </c>
      <c r="H770" s="141">
        <f t="shared" si="212"/>
        <v>2426248.56</v>
      </c>
      <c r="I770" s="141">
        <f t="shared" si="212"/>
        <v>1547894.6300000006</v>
      </c>
      <c r="J770" s="141">
        <f t="shared" si="212"/>
        <v>345285.94000000029</v>
      </c>
      <c r="K770" s="141">
        <f t="shared" si="212"/>
        <v>282034.0400000001</v>
      </c>
      <c r="L770" s="141">
        <f t="shared" si="212"/>
        <v>1154535.8400000005</v>
      </c>
      <c r="M770" s="141">
        <f t="shared" si="212"/>
        <v>294727.51000000036</v>
      </c>
      <c r="N770" s="141">
        <f t="shared" si="212"/>
        <v>1.1641532182693481E-10</v>
      </c>
      <c r="O770" s="141">
        <f t="shared" si="212"/>
        <v>1350494.0399999993</v>
      </c>
      <c r="P770" s="141">
        <f t="shared" si="212"/>
        <v>221635.59000000014</v>
      </c>
      <c r="Q770" s="39">
        <f t="shared" si="212"/>
        <v>7622856.1499999911</v>
      </c>
      <c r="R770" s="39">
        <f t="shared" si="212"/>
        <v>8832599.1020000018</v>
      </c>
      <c r="S770" s="39">
        <f t="shared" si="212"/>
        <v>995599.51000000013</v>
      </c>
      <c r="T770" s="39">
        <f t="shared" si="212"/>
        <v>3.092281986027956E-11</v>
      </c>
      <c r="U770" s="39">
        <f t="shared" si="212"/>
        <v>141820.02000000011</v>
      </c>
      <c r="V770" s="39">
        <f t="shared" si="212"/>
        <v>26301.17</v>
      </c>
      <c r="W770" s="140">
        <f t="shared" si="212"/>
        <v>27003284.262000013</v>
      </c>
      <c r="X770" s="41">
        <f>W769+X767</f>
        <v>406767203.68458456</v>
      </c>
    </row>
    <row r="771" spans="1:24" ht="12.75" x14ac:dyDescent="0.2">
      <c r="A771" s="85"/>
      <c r="B771" s="43"/>
      <c r="C771" s="43"/>
      <c r="D771" s="43"/>
      <c r="E771" s="43"/>
      <c r="F771" s="43"/>
      <c r="G771" s="47"/>
      <c r="H771" s="43"/>
      <c r="I771" s="43"/>
      <c r="J771" s="43"/>
      <c r="K771" s="43"/>
      <c r="L771" s="43"/>
      <c r="M771" s="43"/>
      <c r="N771" s="43"/>
      <c r="O771" s="43"/>
      <c r="P771" s="43"/>
      <c r="Q771" s="47"/>
      <c r="R771" s="47"/>
      <c r="S771" s="47"/>
      <c r="T771" s="47"/>
      <c r="U771" s="47"/>
      <c r="V771" s="43"/>
      <c r="W771" s="87"/>
      <c r="X771" s="46"/>
    </row>
    <row r="772" spans="1:24" ht="12.75" x14ac:dyDescent="0.2">
      <c r="A772" s="82" t="s">
        <v>51</v>
      </c>
      <c r="B772" s="38">
        <v>0</v>
      </c>
      <c r="C772" s="38">
        <v>80773.11</v>
      </c>
      <c r="D772" s="38">
        <v>226221.77</v>
      </c>
      <c r="E772" s="38">
        <v>252658.49</v>
      </c>
      <c r="F772" s="38">
        <v>52474.61</v>
      </c>
      <c r="G772" s="39">
        <f>SUM(B772:F772)</f>
        <v>612127.98</v>
      </c>
      <c r="H772" s="38">
        <v>201743.87</v>
      </c>
      <c r="I772" s="38">
        <v>135764.71</v>
      </c>
      <c r="J772" s="38">
        <v>31970.53</v>
      </c>
      <c r="K772" s="38">
        <v>28653.14</v>
      </c>
      <c r="L772" s="38">
        <v>123171.32</v>
      </c>
      <c r="M772" s="38">
        <v>24919.48</v>
      </c>
      <c r="N772" s="38">
        <v>0</v>
      </c>
      <c r="O772" s="38">
        <v>114127.31</v>
      </c>
      <c r="P772" s="38">
        <v>59841.48</v>
      </c>
      <c r="Q772" s="39">
        <f>SUM(H772:P772)</f>
        <v>720191.84000000008</v>
      </c>
      <c r="R772" s="39">
        <v>663820.91</v>
      </c>
      <c r="S772" s="39">
        <v>282907.27</v>
      </c>
      <c r="T772" s="39">
        <v>0</v>
      </c>
      <c r="U772" s="39">
        <v>0</v>
      </c>
      <c r="V772" s="39">
        <v>0</v>
      </c>
      <c r="W772" s="83">
        <f>Q772+G772+R772+S772+T772+U772+V772</f>
        <v>2279048</v>
      </c>
      <c r="X772" s="41"/>
    </row>
    <row r="773" spans="1:24" ht="12.75" x14ac:dyDescent="0.2">
      <c r="A773" s="82" t="s">
        <v>42</v>
      </c>
      <c r="B773" s="141">
        <f t="shared" ref="B773:W773" si="213">B770+B772-B724</f>
        <v>19319.950000000026</v>
      </c>
      <c r="C773" s="141">
        <f t="shared" si="213"/>
        <v>668516.28999999969</v>
      </c>
      <c r="D773" s="141">
        <f t="shared" si="213"/>
        <v>3409233.0199999996</v>
      </c>
      <c r="E773" s="141">
        <f t="shared" si="213"/>
        <v>3624862.3699999996</v>
      </c>
      <c r="F773" s="141">
        <f t="shared" si="213"/>
        <v>1488526.0899999996</v>
      </c>
      <c r="G773" s="39">
        <f t="shared" si="213"/>
        <v>9210457.7199999988</v>
      </c>
      <c r="H773" s="141">
        <f t="shared" si="213"/>
        <v>2419881.9700000002</v>
      </c>
      <c r="I773" s="141">
        <f t="shared" si="213"/>
        <v>1658548.3900000006</v>
      </c>
      <c r="J773" s="141">
        <f t="shared" si="213"/>
        <v>347112.2600000003</v>
      </c>
      <c r="K773" s="141">
        <f t="shared" si="213"/>
        <v>281436.43000000011</v>
      </c>
      <c r="L773" s="141">
        <f t="shared" si="213"/>
        <v>1228806.9400000006</v>
      </c>
      <c r="M773" s="141">
        <f t="shared" si="213"/>
        <v>302896.44000000035</v>
      </c>
      <c r="N773" s="141">
        <f t="shared" si="213"/>
        <v>1.1641532182693481E-10</v>
      </c>
      <c r="O773" s="141">
        <f t="shared" si="213"/>
        <v>1370092.8999999994</v>
      </c>
      <c r="P773" s="141">
        <f t="shared" si="213"/>
        <v>258811.48000000013</v>
      </c>
      <c r="Q773" s="39">
        <f t="shared" si="213"/>
        <v>7867586.8099999912</v>
      </c>
      <c r="R773" s="39">
        <f t="shared" si="213"/>
        <v>8432815.2920000013</v>
      </c>
      <c r="S773" s="39">
        <f t="shared" si="213"/>
        <v>1147509.8900000004</v>
      </c>
      <c r="T773" s="39">
        <f t="shared" si="213"/>
        <v>3.092281986027956E-11</v>
      </c>
      <c r="U773" s="39">
        <f t="shared" si="213"/>
        <v>113736.1700000001</v>
      </c>
      <c r="V773" s="39">
        <f t="shared" si="213"/>
        <v>26301.17</v>
      </c>
      <c r="W773" s="140">
        <f t="shared" si="213"/>
        <v>26798407.052000012</v>
      </c>
      <c r="X773" s="41">
        <f>W772+X770</f>
        <v>409046251.68458456</v>
      </c>
    </row>
    <row r="774" spans="1:24" ht="12.75" x14ac:dyDescent="0.2">
      <c r="A774" s="85"/>
      <c r="B774" s="44"/>
      <c r="C774" s="44"/>
      <c r="D774" s="44"/>
      <c r="E774" s="44"/>
      <c r="F774" s="44"/>
      <c r="G774" s="45"/>
      <c r="H774" s="44"/>
      <c r="I774" s="44"/>
      <c r="J774" s="44"/>
      <c r="K774" s="44"/>
      <c r="L774" s="44"/>
      <c r="M774" s="44"/>
      <c r="N774" s="44"/>
      <c r="O774" s="44"/>
      <c r="P774" s="44"/>
      <c r="Q774" s="45"/>
      <c r="R774" s="47"/>
      <c r="S774" s="47"/>
      <c r="T774" s="47"/>
      <c r="U774" s="47"/>
      <c r="V774" s="43"/>
      <c r="W774" s="86"/>
      <c r="X774" s="46"/>
    </row>
    <row r="775" spans="1:24" ht="12.75" x14ac:dyDescent="0.2">
      <c r="A775" s="82" t="s">
        <v>52</v>
      </c>
      <c r="B775" s="38">
        <v>0</v>
      </c>
      <c r="C775" s="38">
        <v>22720.85</v>
      </c>
      <c r="D775" s="38">
        <v>111217.28</v>
      </c>
      <c r="E775" s="38">
        <v>288266.88</v>
      </c>
      <c r="F775" s="38">
        <v>119972.87</v>
      </c>
      <c r="G775" s="39">
        <f>SUM(B775:F775)</f>
        <v>542177.88</v>
      </c>
      <c r="H775" s="38">
        <v>196811.31</v>
      </c>
      <c r="I775" s="38">
        <v>138867.49</v>
      </c>
      <c r="J775" s="38">
        <v>9746.23</v>
      </c>
      <c r="K775" s="38">
        <v>9095.02</v>
      </c>
      <c r="L775" s="38">
        <v>91703.72</v>
      </c>
      <c r="M775" s="38">
        <v>22875.61</v>
      </c>
      <c r="N775" s="38">
        <v>0</v>
      </c>
      <c r="O775" s="38">
        <v>22914.3</v>
      </c>
      <c r="P775" s="38">
        <v>33979.78</v>
      </c>
      <c r="Q775" s="39">
        <f>SUM(H775:P775)</f>
        <v>525993.46</v>
      </c>
      <c r="R775" s="39">
        <v>987076.12</v>
      </c>
      <c r="S775" s="39">
        <v>381563.1</v>
      </c>
      <c r="T775" s="39">
        <v>0</v>
      </c>
      <c r="U775" s="39">
        <v>0</v>
      </c>
      <c r="V775" s="39">
        <v>0</v>
      </c>
      <c r="W775" s="83">
        <f>Q775+G775+R775+S775+T775+U775+V775</f>
        <v>2436810.56</v>
      </c>
      <c r="X775" s="41"/>
    </row>
    <row r="776" spans="1:24" ht="12.75" x14ac:dyDescent="0.2">
      <c r="A776" s="82" t="s">
        <v>42</v>
      </c>
      <c r="B776" s="141">
        <f t="shared" ref="B776:W776" si="214">B773+B775-B727</f>
        <v>19319.950000000026</v>
      </c>
      <c r="C776" s="141">
        <f t="shared" si="214"/>
        <v>636670.66999999969</v>
      </c>
      <c r="D776" s="141">
        <f t="shared" si="214"/>
        <v>3204588.6699999995</v>
      </c>
      <c r="E776" s="141">
        <f t="shared" si="214"/>
        <v>3607533.8899999997</v>
      </c>
      <c r="F776" s="141">
        <f t="shared" si="214"/>
        <v>1446460.0499999996</v>
      </c>
      <c r="G776" s="39">
        <f t="shared" si="214"/>
        <v>8914573.2300000004</v>
      </c>
      <c r="H776" s="141">
        <f t="shared" si="214"/>
        <v>2423200.39</v>
      </c>
      <c r="I776" s="141">
        <f t="shared" si="214"/>
        <v>1654453.5900000005</v>
      </c>
      <c r="J776" s="141">
        <f t="shared" si="214"/>
        <v>336610.39000000031</v>
      </c>
      <c r="K776" s="141">
        <f t="shared" si="214"/>
        <v>271172.53000000014</v>
      </c>
      <c r="L776" s="141">
        <f t="shared" si="214"/>
        <v>1269212.3800000006</v>
      </c>
      <c r="M776" s="141">
        <f t="shared" si="214"/>
        <v>314140.88000000035</v>
      </c>
      <c r="N776" s="141">
        <f t="shared" si="214"/>
        <v>1.1641532182693481E-10</v>
      </c>
      <c r="O776" s="141">
        <f t="shared" si="214"/>
        <v>1282453.7099999995</v>
      </c>
      <c r="P776" s="141">
        <f t="shared" si="214"/>
        <v>292791.26000000013</v>
      </c>
      <c r="Q776" s="39">
        <f t="shared" si="214"/>
        <v>7844035.1299999924</v>
      </c>
      <c r="R776" s="39">
        <f t="shared" si="214"/>
        <v>8445754.9120000005</v>
      </c>
      <c r="S776" s="39">
        <f t="shared" si="214"/>
        <v>1456880.7300000002</v>
      </c>
      <c r="T776" s="39">
        <f t="shared" si="214"/>
        <v>3.092281986027956E-11</v>
      </c>
      <c r="U776" s="39">
        <f t="shared" si="214"/>
        <v>92305.660000000105</v>
      </c>
      <c r="V776" s="39">
        <f t="shared" si="214"/>
        <v>-10654.260000000002</v>
      </c>
      <c r="W776" s="140">
        <f t="shared" si="214"/>
        <v>26742895.40200001</v>
      </c>
      <c r="X776" s="41">
        <f>W775+X773</f>
        <v>411483062.24458456</v>
      </c>
    </row>
    <row r="777" spans="1:24" ht="12.75" x14ac:dyDescent="0.2">
      <c r="A777" s="85"/>
      <c r="B777" s="43"/>
      <c r="C777" s="43"/>
      <c r="D777" s="43"/>
      <c r="E777" s="43"/>
      <c r="F777" s="43"/>
      <c r="G777" s="47"/>
      <c r="H777" s="43"/>
      <c r="I777" s="43"/>
      <c r="J777" s="43"/>
      <c r="K777" s="43"/>
      <c r="L777" s="43"/>
      <c r="M777" s="43"/>
      <c r="N777" s="43"/>
      <c r="O777" s="43"/>
      <c r="P777" s="43"/>
      <c r="Q777" s="47"/>
      <c r="R777" s="47"/>
      <c r="S777" s="47"/>
      <c r="T777" s="47"/>
      <c r="U777" s="47"/>
      <c r="V777" s="43"/>
      <c r="W777" s="87"/>
      <c r="X777" s="46"/>
    </row>
    <row r="778" spans="1:24" ht="12.75" x14ac:dyDescent="0.2">
      <c r="A778" s="82" t="s">
        <v>53</v>
      </c>
      <c r="B778" s="38">
        <v>0</v>
      </c>
      <c r="C778" s="38">
        <v>0</v>
      </c>
      <c r="D778" s="38">
        <v>16373.08</v>
      </c>
      <c r="E778" s="38">
        <v>332898.14</v>
      </c>
      <c r="F778" s="38">
        <v>168269.01</v>
      </c>
      <c r="G778" s="39">
        <f>SUM(B778:F778)</f>
        <v>517540.23000000004</v>
      </c>
      <c r="H778" s="38">
        <v>174341.98</v>
      </c>
      <c r="I778" s="38">
        <v>74525.58</v>
      </c>
      <c r="J778" s="38">
        <v>0</v>
      </c>
      <c r="K778" s="38">
        <v>0</v>
      </c>
      <c r="L778" s="38">
        <v>120514.26</v>
      </c>
      <c r="M778" s="38">
        <v>27473.279999999999</v>
      </c>
      <c r="N778" s="38">
        <v>0</v>
      </c>
      <c r="O778" s="38">
        <v>69528.259999999995</v>
      </c>
      <c r="P778" s="38">
        <v>0</v>
      </c>
      <c r="Q778" s="39">
        <f>SUM(H778:P778)</f>
        <v>466383.35999999999</v>
      </c>
      <c r="R778" s="39">
        <v>752867.04</v>
      </c>
      <c r="S778" s="39">
        <v>157163.16</v>
      </c>
      <c r="T778" s="39">
        <v>0</v>
      </c>
      <c r="U778" s="39">
        <v>0</v>
      </c>
      <c r="V778" s="39">
        <v>135513.63</v>
      </c>
      <c r="W778" s="83">
        <f>Q778+G778+R778+S778+T778+U778+V778</f>
        <v>2029467.42</v>
      </c>
      <c r="X778" s="41"/>
    </row>
    <row r="779" spans="1:24" ht="13.5" thickBot="1" x14ac:dyDescent="0.25">
      <c r="A779" s="88" t="s">
        <v>42</v>
      </c>
      <c r="B779" s="143">
        <f t="shared" ref="B779:U779" si="215">B776+B778-B730</f>
        <v>19319.950000000026</v>
      </c>
      <c r="C779" s="143">
        <f t="shared" si="215"/>
        <v>564570.76999999967</v>
      </c>
      <c r="D779" s="143">
        <f t="shared" si="215"/>
        <v>2955228.9499999997</v>
      </c>
      <c r="E779" s="143">
        <f t="shared" si="215"/>
        <v>3620426.9099999997</v>
      </c>
      <c r="F779" s="143">
        <f t="shared" si="215"/>
        <v>1464426.9499999997</v>
      </c>
      <c r="G779" s="50">
        <f t="shared" si="215"/>
        <v>8623973.5300000012</v>
      </c>
      <c r="H779" s="143">
        <f t="shared" si="215"/>
        <v>2389228.6100000003</v>
      </c>
      <c r="I779" s="143">
        <f t="shared" si="215"/>
        <v>1579091.1600000006</v>
      </c>
      <c r="J779" s="143">
        <f t="shared" si="215"/>
        <v>307756.90000000031</v>
      </c>
      <c r="K779" s="143">
        <f t="shared" si="215"/>
        <v>258443.64000000013</v>
      </c>
      <c r="L779" s="198">
        <f t="shared" si="215"/>
        <v>1349486.7400000007</v>
      </c>
      <c r="M779" s="143">
        <f t="shared" si="215"/>
        <v>324445.7400000004</v>
      </c>
      <c r="N779" s="143">
        <f t="shared" si="215"/>
        <v>1.1641532182693481E-10</v>
      </c>
      <c r="O779" s="143">
        <f t="shared" si="215"/>
        <v>1233350.7099999995</v>
      </c>
      <c r="P779" s="143">
        <f t="shared" si="215"/>
        <v>292791.26000000013</v>
      </c>
      <c r="Q779" s="50">
        <f t="shared" si="215"/>
        <v>7734594.7599999923</v>
      </c>
      <c r="R779" s="50">
        <f t="shared" si="215"/>
        <v>8308589.0719999997</v>
      </c>
      <c r="S779" s="50">
        <f t="shared" si="215"/>
        <v>1462694.33</v>
      </c>
      <c r="T779" s="50">
        <f t="shared" si="215"/>
        <v>3.092281986027956E-11</v>
      </c>
      <c r="U779" s="50">
        <f t="shared" si="215"/>
        <v>78506.940000000104</v>
      </c>
      <c r="V779" s="50">
        <f>V776+V778</f>
        <v>124859.37</v>
      </c>
      <c r="W779" s="144">
        <f>W776+W778-W730</f>
        <v>26333218.002000012</v>
      </c>
      <c r="X779" s="51">
        <f>W778+X776</f>
        <v>413512529.66458458</v>
      </c>
    </row>
    <row r="780" spans="1:24" ht="12.75" x14ac:dyDescent="0.2">
      <c r="A780" s="92"/>
      <c r="B780" s="52" t="s">
        <v>131</v>
      </c>
      <c r="C780" s="90"/>
      <c r="D780" s="90"/>
      <c r="E780" s="90"/>
      <c r="F780" s="90"/>
      <c r="G780" s="90"/>
      <c r="I780" s="90"/>
      <c r="J780" s="90"/>
      <c r="K780" s="90"/>
      <c r="L780" s="90"/>
      <c r="M780" s="90"/>
      <c r="N780" s="90"/>
      <c r="O780" s="171"/>
      <c r="P780" s="90"/>
      <c r="Q780" s="52" t="s">
        <v>188</v>
      </c>
      <c r="S780" s="52"/>
      <c r="T780" s="52"/>
      <c r="U780" s="52"/>
      <c r="V780" s="52"/>
      <c r="W780" s="90"/>
      <c r="X780" s="91"/>
    </row>
    <row r="781" spans="1:24" ht="12.75" x14ac:dyDescent="0.2">
      <c r="B781" s="249" t="s">
        <v>175</v>
      </c>
      <c r="P781" t="s">
        <v>122</v>
      </c>
      <c r="X781" s="9"/>
    </row>
    <row r="782" spans="1:24" ht="12.75" x14ac:dyDescent="0.2">
      <c r="B782" s="249" t="s">
        <v>184</v>
      </c>
    </row>
    <row r="783" spans="1:24" ht="12.75" x14ac:dyDescent="0.2">
      <c r="B783" s="211" t="s">
        <v>194</v>
      </c>
    </row>
    <row r="784" spans="1:24" ht="27" x14ac:dyDescent="0.35">
      <c r="A784" s="133" t="s">
        <v>186</v>
      </c>
      <c r="B784" s="54"/>
      <c r="C784" s="122"/>
      <c r="D784" s="58"/>
      <c r="E784" s="127"/>
      <c r="F784" s="128"/>
      <c r="G784" s="127"/>
      <c r="H784" s="129"/>
      <c r="I784" s="130"/>
      <c r="J784" s="130"/>
      <c r="K784" s="130"/>
      <c r="L784" s="130"/>
      <c r="M784" s="130"/>
      <c r="N784" s="130"/>
      <c r="O784" s="130"/>
      <c r="P784" s="130"/>
      <c r="Q784" s="130"/>
      <c r="R784" s="128"/>
      <c r="S784" s="128"/>
      <c r="T784" s="128"/>
      <c r="U784" s="128"/>
      <c r="V784" s="128"/>
      <c r="W784" s="130"/>
      <c r="X784" s="131"/>
    </row>
    <row r="785" spans="1:25" ht="15.75" x14ac:dyDescent="0.25">
      <c r="A785" s="136"/>
      <c r="B785" s="170"/>
      <c r="C785" s="54"/>
      <c r="D785" s="53"/>
      <c r="E785" s="53"/>
      <c r="F785" s="132"/>
      <c r="H785" s="55"/>
      <c r="I785" s="55"/>
      <c r="J785" s="54"/>
      <c r="K785" s="56"/>
      <c r="L785" s="57"/>
      <c r="M785" s="54"/>
      <c r="N785" s="54" t="s">
        <v>60</v>
      </c>
      <c r="O785" s="54"/>
      <c r="P785" s="54"/>
      <c r="Q785" s="57"/>
      <c r="R785" s="58"/>
      <c r="S785" s="58"/>
      <c r="T785" s="58"/>
      <c r="U785" s="58"/>
      <c r="V785" s="58"/>
      <c r="W785" s="54"/>
      <c r="X785" s="54"/>
    </row>
    <row r="786" spans="1:25" ht="27" x14ac:dyDescent="0.35">
      <c r="A786" s="134" t="s">
        <v>6</v>
      </c>
      <c r="B786" s="122"/>
      <c r="C786" s="122"/>
      <c r="D786" s="122"/>
      <c r="E786" s="122"/>
      <c r="F786" s="122"/>
      <c r="H786" s="122"/>
      <c r="I786" s="122"/>
      <c r="J786" s="122"/>
      <c r="K786" s="122"/>
      <c r="L786" s="122"/>
      <c r="M786" s="122"/>
      <c r="N786" s="122"/>
      <c r="O786" s="122"/>
      <c r="P786" s="122"/>
      <c r="Q786" s="122"/>
      <c r="R786" s="122"/>
      <c r="S786" s="122"/>
      <c r="T786" s="122"/>
      <c r="U786" s="122"/>
      <c r="V786" s="122"/>
      <c r="W786" s="142"/>
      <c r="X786" s="122"/>
    </row>
    <row r="787" spans="1:25" ht="12" thickBot="1" x14ac:dyDescent="0.25">
      <c r="B787" s="2"/>
      <c r="C787" s="2"/>
      <c r="D787" s="2"/>
      <c r="E787" s="2"/>
      <c r="F787" s="59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 t="s">
        <v>60</v>
      </c>
      <c r="W787" s="2"/>
      <c r="X787" s="57"/>
    </row>
    <row r="788" spans="1:25" x14ac:dyDescent="0.2">
      <c r="A788" s="14"/>
      <c r="B788" s="15"/>
      <c r="C788" s="15"/>
      <c r="D788" s="15"/>
      <c r="E788" s="15"/>
      <c r="F788" s="15"/>
      <c r="G788" s="15"/>
      <c r="H788" s="15"/>
      <c r="I788" s="15"/>
      <c r="J788" s="15"/>
      <c r="K788" s="15"/>
      <c r="L788" s="15"/>
      <c r="M788" s="15"/>
      <c r="N788" s="15"/>
      <c r="O788" s="15"/>
      <c r="P788" s="15"/>
      <c r="Q788" s="15"/>
      <c r="R788" s="16"/>
      <c r="S788" s="16"/>
      <c r="T788" s="16"/>
      <c r="U788" s="16"/>
      <c r="V788" s="16"/>
      <c r="W788" s="15"/>
      <c r="X788" s="60" t="s">
        <v>60</v>
      </c>
    </row>
    <row r="789" spans="1:25" ht="13.5" thickBot="1" x14ac:dyDescent="0.25">
      <c r="A789" s="18"/>
      <c r="B789" s="61"/>
      <c r="C789" s="62"/>
      <c r="D789" s="63" t="s">
        <v>73</v>
      </c>
      <c r="E789" s="64"/>
      <c r="F789" s="64"/>
      <c r="G789" s="64"/>
      <c r="H789" s="61"/>
      <c r="I789" s="64"/>
      <c r="J789" s="64"/>
      <c r="K789" s="65" t="s">
        <v>74</v>
      </c>
      <c r="L789" s="64"/>
      <c r="M789" s="64"/>
      <c r="N789" s="64"/>
      <c r="O789" s="64"/>
      <c r="P789" s="64"/>
      <c r="Q789" s="138"/>
      <c r="R789" s="64"/>
      <c r="S789" s="64"/>
      <c r="T789" s="64"/>
      <c r="U789" s="64"/>
      <c r="V789" s="64"/>
      <c r="W789" s="66"/>
      <c r="X789" s="36" t="s">
        <v>60</v>
      </c>
    </row>
    <row r="790" spans="1:25" ht="12" x14ac:dyDescent="0.2">
      <c r="A790" s="67"/>
      <c r="B790" s="68" t="s">
        <v>11</v>
      </c>
      <c r="C790" s="68" t="s">
        <v>12</v>
      </c>
      <c r="D790" s="68" t="s">
        <v>13</v>
      </c>
      <c r="E790" s="68" t="s">
        <v>14</v>
      </c>
      <c r="F790" s="68" t="s">
        <v>15</v>
      </c>
      <c r="G790" s="69" t="s">
        <v>16</v>
      </c>
      <c r="H790" s="68" t="s">
        <v>17</v>
      </c>
      <c r="I790" s="70"/>
      <c r="J790" s="70"/>
      <c r="K790" s="70"/>
      <c r="L790" s="70"/>
      <c r="M790" s="68" t="s">
        <v>18</v>
      </c>
      <c r="N790" s="68" t="s">
        <v>19</v>
      </c>
      <c r="O790" s="68" t="s">
        <v>20</v>
      </c>
      <c r="P790" s="68" t="s">
        <v>21</v>
      </c>
      <c r="Q790" s="69" t="s">
        <v>16</v>
      </c>
      <c r="R790" s="203" t="s">
        <v>69</v>
      </c>
      <c r="S790" s="202" t="s">
        <v>126</v>
      </c>
      <c r="T790" s="202" t="s">
        <v>138</v>
      </c>
      <c r="U790" s="202" t="s">
        <v>134</v>
      </c>
      <c r="V790" s="202" t="s">
        <v>136</v>
      </c>
      <c r="W790" s="72" t="s">
        <v>7</v>
      </c>
      <c r="X790" s="73" t="s">
        <v>70</v>
      </c>
    </row>
    <row r="791" spans="1:25" ht="12.75" thickBot="1" x14ac:dyDescent="0.25">
      <c r="A791" s="75"/>
      <c r="B791" s="76" t="s">
        <v>23</v>
      </c>
      <c r="C791" s="76" t="s">
        <v>24</v>
      </c>
      <c r="D791" s="76" t="s">
        <v>25</v>
      </c>
      <c r="E791" s="76" t="s">
        <v>26</v>
      </c>
      <c r="F791" s="76" t="s">
        <v>27</v>
      </c>
      <c r="G791" s="77" t="s">
        <v>28</v>
      </c>
      <c r="H791" s="76" t="s">
        <v>29</v>
      </c>
      <c r="I791" s="76" t="s">
        <v>30</v>
      </c>
      <c r="J791" s="76" t="s">
        <v>31</v>
      </c>
      <c r="K791" s="76" t="s">
        <v>32</v>
      </c>
      <c r="L791" s="76" t="s">
        <v>33</v>
      </c>
      <c r="M791" s="76" t="s">
        <v>34</v>
      </c>
      <c r="N791" s="76" t="s">
        <v>35</v>
      </c>
      <c r="O791" s="76" t="s">
        <v>36</v>
      </c>
      <c r="P791" s="76" t="s">
        <v>37</v>
      </c>
      <c r="Q791" s="77" t="s">
        <v>28</v>
      </c>
      <c r="R791" s="204" t="s">
        <v>82</v>
      </c>
      <c r="S791" s="78" t="s">
        <v>130</v>
      </c>
      <c r="T791" s="78" t="s">
        <v>139</v>
      </c>
      <c r="U791" s="78" t="s">
        <v>135</v>
      </c>
      <c r="V791" s="78" t="s">
        <v>189</v>
      </c>
      <c r="W791" s="79" t="s">
        <v>10</v>
      </c>
      <c r="X791" s="80" t="s">
        <v>71</v>
      </c>
    </row>
    <row r="792" spans="1:25" x14ac:dyDescent="0.2">
      <c r="A792" s="18"/>
      <c r="B792" s="33"/>
      <c r="C792" s="33"/>
      <c r="D792" s="33"/>
      <c r="E792" s="33"/>
      <c r="F792" s="33"/>
      <c r="G792" s="34"/>
      <c r="H792" s="33"/>
      <c r="I792" s="33"/>
      <c r="J792" s="33"/>
      <c r="K792" s="33"/>
      <c r="L792" s="33"/>
      <c r="M792" s="33"/>
      <c r="N792" s="33"/>
      <c r="O792" s="33"/>
      <c r="P792" s="33"/>
      <c r="Q792" s="34"/>
      <c r="R792" s="205"/>
      <c r="S792" s="214"/>
      <c r="T792" s="214"/>
      <c r="U792" s="214"/>
      <c r="V792" s="35"/>
      <c r="W792" s="81"/>
      <c r="X792" s="36"/>
    </row>
    <row r="793" spans="1:25" ht="12.75" x14ac:dyDescent="0.2">
      <c r="A793" s="82" t="s">
        <v>41</v>
      </c>
      <c r="B793" s="38">
        <v>0</v>
      </c>
      <c r="C793" s="38">
        <f>1352327.41*0.05674</f>
        <v>76731.057243399991</v>
      </c>
      <c r="D793" s="38">
        <v>0</v>
      </c>
      <c r="E793" s="38">
        <f>6331865.255*0.05674</f>
        <v>359270.03456870001</v>
      </c>
      <c r="F793" s="38">
        <f>2694666.743*0.05674</f>
        <v>152895.39099781998</v>
      </c>
      <c r="G793" s="39">
        <f>SUM(B793:F793)</f>
        <v>588896.48280991998</v>
      </c>
      <c r="H793" s="38">
        <v>39188.980000000003</v>
      </c>
      <c r="I793" s="38">
        <v>0</v>
      </c>
      <c r="J793" s="38">
        <v>40380.74</v>
      </c>
      <c r="K793" s="38">
        <v>40685.97</v>
      </c>
      <c r="L793" s="38">
        <v>116831.69</v>
      </c>
      <c r="M793" s="38">
        <v>24643.119999999999</v>
      </c>
      <c r="N793" s="38">
        <v>0</v>
      </c>
      <c r="O793" s="38">
        <v>81335.19</v>
      </c>
      <c r="P793" s="38">
        <v>0</v>
      </c>
      <c r="Q793" s="39">
        <f>SUM(H793:P793)</f>
        <v>343065.69</v>
      </c>
      <c r="R793" s="39">
        <v>765697.02</v>
      </c>
      <c r="S793" s="39">
        <v>33558.129999999997</v>
      </c>
      <c r="T793" s="39">
        <v>0</v>
      </c>
      <c r="U793" s="39">
        <v>0</v>
      </c>
      <c r="V793" s="39">
        <v>0</v>
      </c>
      <c r="W793" s="83">
        <f>Q793+G793+R793+S793+T793+U793+V793</f>
        <v>1731217.3228099199</v>
      </c>
      <c r="X793" s="41"/>
    </row>
    <row r="794" spans="1:25" ht="12.75" x14ac:dyDescent="0.2">
      <c r="A794" s="82" t="s">
        <v>42</v>
      </c>
      <c r="B794" s="141">
        <f t="shared" ref="B794:W794" si="216">B779+B793-B745</f>
        <v>19319.950000000026</v>
      </c>
      <c r="C794" s="141">
        <f t="shared" si="216"/>
        <v>616730.23724339972</v>
      </c>
      <c r="D794" s="141">
        <f t="shared" si="216"/>
        <v>2648095.2199999997</v>
      </c>
      <c r="E794" s="141">
        <f t="shared" si="216"/>
        <v>3641803.3545686998</v>
      </c>
      <c r="F794" s="141">
        <f t="shared" si="216"/>
        <v>1447087.6009978198</v>
      </c>
      <c r="G794" s="172">
        <f t="shared" si="216"/>
        <v>8373036.3628099207</v>
      </c>
      <c r="H794" s="141">
        <f t="shared" si="216"/>
        <v>2229319.5300000003</v>
      </c>
      <c r="I794" s="141">
        <f t="shared" si="216"/>
        <v>1438668.0800000005</v>
      </c>
      <c r="J794" s="141">
        <f t="shared" si="216"/>
        <v>341685.72000000032</v>
      </c>
      <c r="K794" s="141">
        <f t="shared" si="216"/>
        <v>289805.18000000011</v>
      </c>
      <c r="L794" s="141">
        <f t="shared" si="216"/>
        <v>1400373.9400000006</v>
      </c>
      <c r="M794" s="141">
        <f t="shared" si="216"/>
        <v>338559.78000000038</v>
      </c>
      <c r="N794" s="141">
        <f t="shared" si="216"/>
        <v>1.1641532182693481E-10</v>
      </c>
      <c r="O794" s="141">
        <f t="shared" si="216"/>
        <v>1246068.5299999993</v>
      </c>
      <c r="P794" s="141">
        <f t="shared" si="216"/>
        <v>292791.26000000013</v>
      </c>
      <c r="Q794" s="39">
        <f t="shared" si="216"/>
        <v>7577272.019999993</v>
      </c>
      <c r="R794" s="172">
        <f t="shared" si="216"/>
        <v>8208733.9020000007</v>
      </c>
      <c r="S794" s="172">
        <f t="shared" si="216"/>
        <v>1496252.46</v>
      </c>
      <c r="T794" s="172">
        <f t="shared" si="216"/>
        <v>3.092281986027956E-11</v>
      </c>
      <c r="U794" s="172">
        <f t="shared" si="216"/>
        <v>56050.700000000099</v>
      </c>
      <c r="V794" s="172">
        <f>V779+V793-V745</f>
        <v>124859.37</v>
      </c>
      <c r="W794" s="83">
        <f t="shared" si="216"/>
        <v>25836204.81480993</v>
      </c>
      <c r="X794" s="41">
        <f>X779+W793</f>
        <v>415243746.98739451</v>
      </c>
    </row>
    <row r="795" spans="1:25" ht="12.75" x14ac:dyDescent="0.2">
      <c r="A795" s="85"/>
      <c r="B795" s="38"/>
      <c r="C795" s="38"/>
      <c r="D795" s="38"/>
      <c r="E795" s="38"/>
      <c r="F795" s="38"/>
      <c r="G795" s="39"/>
      <c r="H795" s="38"/>
      <c r="I795" s="38"/>
      <c r="J795" s="38"/>
      <c r="K795" s="38"/>
      <c r="L795" s="38"/>
      <c r="M795" s="38"/>
      <c r="N795" s="38"/>
      <c r="O795" s="38"/>
      <c r="P795" s="38"/>
      <c r="Q795" s="39" t="s">
        <v>60</v>
      </c>
      <c r="R795" s="47"/>
      <c r="S795" s="47"/>
      <c r="T795" s="47"/>
      <c r="U795" s="47"/>
      <c r="V795" s="43"/>
      <c r="W795" s="83"/>
      <c r="X795" s="41"/>
    </row>
    <row r="796" spans="1:25" ht="12.75" x14ac:dyDescent="0.2">
      <c r="A796" s="82" t="s">
        <v>43</v>
      </c>
      <c r="B796" s="38">
        <f>4800*0.05674</f>
        <v>272.35199999999998</v>
      </c>
      <c r="C796" s="38">
        <f>898779.393*0.05674</f>
        <v>50996.742758820001</v>
      </c>
      <c r="D796" s="38">
        <v>0</v>
      </c>
      <c r="E796" s="38">
        <f>2305291.988*0.05674</f>
        <v>130802.26739911998</v>
      </c>
      <c r="F796" s="38">
        <f>2404259.585*0.05674</f>
        <v>136417.6888529</v>
      </c>
      <c r="G796" s="39">
        <f>SUM(B796:F796)</f>
        <v>318489.05101083999</v>
      </c>
      <c r="H796" s="38">
        <v>144950.31</v>
      </c>
      <c r="I796" s="38">
        <v>75345.53</v>
      </c>
      <c r="J796" s="38">
        <v>3896.37</v>
      </c>
      <c r="K796" s="38">
        <v>3468.36</v>
      </c>
      <c r="L796" s="38">
        <v>20744.740000000002</v>
      </c>
      <c r="M796" s="38">
        <v>24286.54</v>
      </c>
      <c r="N796" s="38">
        <v>0</v>
      </c>
      <c r="O796" s="38">
        <v>108170.22</v>
      </c>
      <c r="P796" s="38">
        <v>0</v>
      </c>
      <c r="Q796" s="39">
        <f>SUM(H796:P796)</f>
        <v>380862.06999999995</v>
      </c>
      <c r="R796" s="39">
        <v>622810.68999999994</v>
      </c>
      <c r="S796" s="39">
        <v>17827.52</v>
      </c>
      <c r="T796" s="39">
        <v>0</v>
      </c>
      <c r="U796" s="39">
        <v>0</v>
      </c>
      <c r="V796" s="39">
        <v>119668.38</v>
      </c>
      <c r="W796" s="83">
        <f>Q796+G796+R796+S796+T796+U796+V796</f>
        <v>1459657.7110108398</v>
      </c>
      <c r="X796" s="41"/>
      <c r="Y796" s="137"/>
    </row>
    <row r="797" spans="1:25" ht="12.75" x14ac:dyDescent="0.2">
      <c r="A797" s="82" t="s">
        <v>42</v>
      </c>
      <c r="B797" s="141">
        <f t="shared" ref="B797:V797" si="217">B794+B796-B748</f>
        <v>19592.302000000025</v>
      </c>
      <c r="C797" s="141">
        <f t="shared" si="217"/>
        <v>629586.57000221964</v>
      </c>
      <c r="D797" s="141">
        <f t="shared" si="217"/>
        <v>2434344.8299999996</v>
      </c>
      <c r="E797" s="141">
        <f t="shared" si="217"/>
        <v>3450143.2319678199</v>
      </c>
      <c r="F797" s="141">
        <f t="shared" si="217"/>
        <v>1441337.6898507196</v>
      </c>
      <c r="G797" s="39">
        <f t="shared" si="217"/>
        <v>7975004.6238207603</v>
      </c>
      <c r="H797" s="141">
        <f t="shared" si="217"/>
        <v>2224599.2100000004</v>
      </c>
      <c r="I797" s="141">
        <f t="shared" si="217"/>
        <v>1403664.5300000005</v>
      </c>
      <c r="J797" s="141">
        <f t="shared" si="217"/>
        <v>338063.75000000029</v>
      </c>
      <c r="K797" s="141">
        <f t="shared" si="217"/>
        <v>283552.20000000007</v>
      </c>
      <c r="L797" s="141">
        <f t="shared" si="217"/>
        <v>1302880.8900000006</v>
      </c>
      <c r="M797" s="141">
        <f t="shared" si="217"/>
        <v>336634.07000000036</v>
      </c>
      <c r="N797" s="141">
        <f t="shared" si="217"/>
        <v>1.1641532182693481E-10</v>
      </c>
      <c r="O797" s="141">
        <f t="shared" si="217"/>
        <v>1277722.3899999992</v>
      </c>
      <c r="P797" s="141">
        <f t="shared" si="217"/>
        <v>292791.26000000013</v>
      </c>
      <c r="Q797" s="39">
        <f t="shared" si="217"/>
        <v>7459908.2999999933</v>
      </c>
      <c r="R797" s="39">
        <f t="shared" si="217"/>
        <v>8101275.0619999999</v>
      </c>
      <c r="S797" s="39">
        <f t="shared" si="217"/>
        <v>1470178.22</v>
      </c>
      <c r="T797" s="39">
        <f t="shared" si="217"/>
        <v>3.092281986027956E-11</v>
      </c>
      <c r="U797" s="39">
        <f t="shared" si="217"/>
        <v>56050.700000000099</v>
      </c>
      <c r="V797" s="39">
        <f t="shared" si="217"/>
        <v>244527.75</v>
      </c>
      <c r="W797" s="140">
        <f>W794+W796-W748</f>
        <v>25306944.655820768</v>
      </c>
      <c r="X797" s="41">
        <f>W796+X794</f>
        <v>416703404.69840533</v>
      </c>
    </row>
    <row r="798" spans="1:25" ht="12.75" x14ac:dyDescent="0.2">
      <c r="A798" s="85"/>
      <c r="B798" s="44"/>
      <c r="C798" s="44"/>
      <c r="D798" s="44"/>
      <c r="E798" s="44"/>
      <c r="F798" s="44"/>
      <c r="G798" s="45"/>
      <c r="H798" s="44"/>
      <c r="I798" s="44"/>
      <c r="J798" s="44"/>
      <c r="K798" s="44"/>
      <c r="L798" s="44"/>
      <c r="M798" s="44"/>
      <c r="N798" s="44"/>
      <c r="O798" s="44"/>
      <c r="P798" s="44"/>
      <c r="Q798" s="45"/>
      <c r="R798" s="47"/>
      <c r="S798" s="47"/>
      <c r="T798" s="47"/>
      <c r="U798" s="47"/>
      <c r="V798" s="43"/>
      <c r="W798" s="86"/>
      <c r="X798" s="46"/>
    </row>
    <row r="799" spans="1:25" ht="12.75" x14ac:dyDescent="0.2">
      <c r="A799" s="82" t="s">
        <v>44</v>
      </c>
      <c r="B799" s="38">
        <v>817.06</v>
      </c>
      <c r="C799" s="38">
        <v>77525.3</v>
      </c>
      <c r="D799" s="38">
        <v>97804.69</v>
      </c>
      <c r="E799" s="38">
        <v>293006.14</v>
      </c>
      <c r="F799" s="38">
        <v>106102.97</v>
      </c>
      <c r="G799" s="39">
        <f>SUM(B799:F799)</f>
        <v>575256.16</v>
      </c>
      <c r="H799" s="38">
        <v>194063.26</v>
      </c>
      <c r="I799" s="38">
        <v>93155.98</v>
      </c>
      <c r="J799" s="38">
        <v>40251.49</v>
      </c>
      <c r="K799" s="38">
        <v>43366.28</v>
      </c>
      <c r="L799" s="38">
        <v>2149.92</v>
      </c>
      <c r="M799" s="38">
        <v>28189.86</v>
      </c>
      <c r="N799" s="38">
        <v>0</v>
      </c>
      <c r="O799" s="38">
        <v>45593.69</v>
      </c>
      <c r="P799" s="38">
        <v>5078.07</v>
      </c>
      <c r="Q799" s="39">
        <f>SUM(H799:P799)</f>
        <v>451848.55</v>
      </c>
      <c r="R799" s="39">
        <v>797034.43</v>
      </c>
      <c r="S799" s="39">
        <v>202712.98</v>
      </c>
      <c r="T799" s="39">
        <v>0</v>
      </c>
      <c r="U799" s="39">
        <v>0</v>
      </c>
      <c r="V799" s="39">
        <v>0</v>
      </c>
      <c r="W799" s="83">
        <f>Q799+G799+R799+S799+T799+U799+V799</f>
        <v>2026852.12</v>
      </c>
      <c r="X799" s="41"/>
    </row>
    <row r="800" spans="1:25" ht="12.75" x14ac:dyDescent="0.2">
      <c r="A800" s="82" t="s">
        <v>42</v>
      </c>
      <c r="B800" s="141">
        <f t="shared" ref="B800:W800" si="218">B797+B799-B751</f>
        <v>20409.362000000026</v>
      </c>
      <c r="C800" s="141">
        <f t="shared" si="218"/>
        <v>704848.18000221974</v>
      </c>
      <c r="D800" s="141">
        <f t="shared" si="218"/>
        <v>2324070.1399999997</v>
      </c>
      <c r="E800" s="141">
        <f t="shared" si="218"/>
        <v>3407163.4419678198</v>
      </c>
      <c r="F800" s="141">
        <f t="shared" si="218"/>
        <v>1414623.3098507195</v>
      </c>
      <c r="G800" s="39">
        <f t="shared" si="218"/>
        <v>7871114.4338207599</v>
      </c>
      <c r="H800" s="141">
        <f t="shared" si="218"/>
        <v>2307822.6700000009</v>
      </c>
      <c r="I800" s="141">
        <f t="shared" si="218"/>
        <v>1412827.6600000004</v>
      </c>
      <c r="J800" s="141">
        <f t="shared" si="218"/>
        <v>378025.49000000028</v>
      </c>
      <c r="K800" s="141">
        <f t="shared" si="218"/>
        <v>326073.0400000001</v>
      </c>
      <c r="L800" s="141">
        <f t="shared" si="218"/>
        <v>1240977.4400000004</v>
      </c>
      <c r="M800" s="141">
        <f t="shared" si="218"/>
        <v>341546.86000000034</v>
      </c>
      <c r="N800" s="141">
        <f t="shared" si="218"/>
        <v>1.1641532182693481E-10</v>
      </c>
      <c r="O800" s="141">
        <f t="shared" si="218"/>
        <v>1201955.7899999991</v>
      </c>
      <c r="P800" s="141">
        <f t="shared" si="218"/>
        <v>297869.33000000013</v>
      </c>
      <c r="Q800" s="39">
        <f t="shared" si="218"/>
        <v>7507098.2799999928</v>
      </c>
      <c r="R800" s="39">
        <f t="shared" si="218"/>
        <v>8247498.6920000007</v>
      </c>
      <c r="S800" s="39">
        <f t="shared" si="218"/>
        <v>1596628.92</v>
      </c>
      <c r="T800" s="39">
        <f t="shared" si="218"/>
        <v>3.092281986027956E-11</v>
      </c>
      <c r="U800" s="39">
        <f t="shared" si="218"/>
        <v>42441.390000000101</v>
      </c>
      <c r="V800" s="226">
        <f t="shared" si="218"/>
        <v>244527.75</v>
      </c>
      <c r="W800" s="83">
        <f t="shared" si="218"/>
        <v>25509309.465820771</v>
      </c>
      <c r="X800" s="41">
        <f>W799+X797</f>
        <v>418730256.81840533</v>
      </c>
    </row>
    <row r="801" spans="1:24" ht="12.75" x14ac:dyDescent="0.2">
      <c r="A801" s="85"/>
      <c r="B801" s="43"/>
      <c r="C801" s="43"/>
      <c r="D801" s="43"/>
      <c r="E801" s="43"/>
      <c r="F801" s="43"/>
      <c r="G801" s="47"/>
      <c r="H801" s="43"/>
      <c r="I801" s="43"/>
      <c r="J801" s="43"/>
      <c r="K801" s="43"/>
      <c r="L801" s="43"/>
      <c r="M801" s="43"/>
      <c r="N801" s="43"/>
      <c r="O801" s="43"/>
      <c r="P801" s="43"/>
      <c r="Q801" s="47"/>
      <c r="R801" s="47"/>
      <c r="S801" s="47"/>
      <c r="T801" s="47"/>
      <c r="U801" s="47"/>
      <c r="V801" s="43"/>
      <c r="W801" s="87"/>
      <c r="X801" s="46"/>
    </row>
    <row r="802" spans="1:24" ht="12.75" x14ac:dyDescent="0.2">
      <c r="A802" s="82" t="s">
        <v>45</v>
      </c>
      <c r="B802" s="38">
        <v>0</v>
      </c>
      <c r="C802" s="38">
        <v>134768.31</v>
      </c>
      <c r="D802" s="38">
        <v>140214.01</v>
      </c>
      <c r="E802" s="38">
        <v>253907.39</v>
      </c>
      <c r="F802" s="38">
        <v>138431.93</v>
      </c>
      <c r="G802" s="39">
        <f>SUM(B802:F802)</f>
        <v>667321.6399999999</v>
      </c>
      <c r="H802" s="38">
        <v>190438.92</v>
      </c>
      <c r="I802" s="38">
        <v>138529.81</v>
      </c>
      <c r="J802" s="38">
        <v>56534.23</v>
      </c>
      <c r="K802" s="38">
        <v>55284.1</v>
      </c>
      <c r="L802" s="38">
        <v>115905.18</v>
      </c>
      <c r="M802" s="38">
        <v>23918.37</v>
      </c>
      <c r="N802" s="38">
        <v>0</v>
      </c>
      <c r="O802" s="38">
        <v>2798.46</v>
      </c>
      <c r="P802" s="38">
        <v>40220.199999999997</v>
      </c>
      <c r="Q802" s="39">
        <f>SUM(H802:P802)</f>
        <v>623629.2699999999</v>
      </c>
      <c r="R802" s="39">
        <v>466632.11</v>
      </c>
      <c r="S802" s="39">
        <v>58599.839999999997</v>
      </c>
      <c r="T802" s="39">
        <v>0</v>
      </c>
      <c r="U802" s="39">
        <v>0</v>
      </c>
      <c r="V802" s="39">
        <v>0</v>
      </c>
      <c r="W802" s="83">
        <f>Q802+G802+R802+S802+T802+U802+V802</f>
        <v>1816182.8599999996</v>
      </c>
      <c r="X802" s="41"/>
    </row>
    <row r="803" spans="1:24" ht="12.75" x14ac:dyDescent="0.2">
      <c r="A803" s="82" t="s">
        <v>42</v>
      </c>
      <c r="B803" s="141">
        <f t="shared" ref="B803:W803" si="219">B800+B802-B754</f>
        <v>20409.362000000026</v>
      </c>
      <c r="C803" s="141">
        <f t="shared" si="219"/>
        <v>839616.4900022198</v>
      </c>
      <c r="D803" s="141">
        <f t="shared" si="219"/>
        <v>2124794.7199999993</v>
      </c>
      <c r="E803" s="141">
        <f t="shared" si="219"/>
        <v>3409474.0919678202</v>
      </c>
      <c r="F803" s="141">
        <f t="shared" si="219"/>
        <v>1503010.2498507195</v>
      </c>
      <c r="G803" s="39">
        <f t="shared" si="219"/>
        <v>7897304.9138207603</v>
      </c>
      <c r="H803" s="141">
        <f t="shared" si="219"/>
        <v>2309428.8700000006</v>
      </c>
      <c r="I803" s="141">
        <f t="shared" si="219"/>
        <v>1405640.2900000005</v>
      </c>
      <c r="J803" s="141">
        <f t="shared" si="219"/>
        <v>434559.72000000026</v>
      </c>
      <c r="K803" s="141">
        <f t="shared" si="219"/>
        <v>381357.14000000007</v>
      </c>
      <c r="L803" s="141">
        <f t="shared" si="219"/>
        <v>1231927.1700000004</v>
      </c>
      <c r="M803" s="141">
        <f t="shared" si="219"/>
        <v>345353.63000000035</v>
      </c>
      <c r="N803" s="141">
        <f t="shared" si="219"/>
        <v>1.1641532182693481E-10</v>
      </c>
      <c r="O803" s="141">
        <f t="shared" si="219"/>
        <v>1085722.659999999</v>
      </c>
      <c r="P803" s="141">
        <f t="shared" si="219"/>
        <v>338089.53000000014</v>
      </c>
      <c r="Q803" s="39">
        <f t="shared" si="219"/>
        <v>7532079.0099999923</v>
      </c>
      <c r="R803" s="39">
        <f t="shared" si="219"/>
        <v>8381785.8500000015</v>
      </c>
      <c r="S803" s="39">
        <f t="shared" si="219"/>
        <v>1655228.76</v>
      </c>
      <c r="T803" s="39">
        <f t="shared" si="219"/>
        <v>3.092281986027956E-11</v>
      </c>
      <c r="U803" s="39">
        <f t="shared" si="219"/>
        <v>12934.380000000103</v>
      </c>
      <c r="V803" s="39">
        <f t="shared" si="219"/>
        <v>244527.75</v>
      </c>
      <c r="W803" s="140">
        <f t="shared" si="219"/>
        <v>25723860.66382077</v>
      </c>
      <c r="X803" s="41">
        <f>W802+X800</f>
        <v>420546439.67840534</v>
      </c>
    </row>
    <row r="804" spans="1:24" ht="12.75" x14ac:dyDescent="0.2">
      <c r="A804" s="85"/>
      <c r="B804" s="44"/>
      <c r="C804" s="44"/>
      <c r="D804" s="44"/>
      <c r="E804" s="44"/>
      <c r="F804" s="44"/>
      <c r="G804" s="45"/>
      <c r="H804" s="44"/>
      <c r="I804" s="44"/>
      <c r="J804" s="44"/>
      <c r="K804" s="44"/>
      <c r="L804" s="44"/>
      <c r="M804" s="44"/>
      <c r="N804" s="44"/>
      <c r="O804" s="44"/>
      <c r="P804" s="44"/>
      <c r="Q804" s="45"/>
      <c r="R804" s="47"/>
      <c r="S804" s="47"/>
      <c r="T804" s="47"/>
      <c r="U804" s="47"/>
      <c r="V804" s="43"/>
      <c r="W804" s="86"/>
      <c r="X804" s="46"/>
    </row>
    <row r="805" spans="1:24" ht="12.75" x14ac:dyDescent="0.2">
      <c r="A805" s="82" t="s">
        <v>46</v>
      </c>
      <c r="B805" s="38">
        <v>7625.86</v>
      </c>
      <c r="C805" s="38">
        <v>0</v>
      </c>
      <c r="D805" s="38">
        <v>305443.25</v>
      </c>
      <c r="E805" s="38">
        <v>289278.8</v>
      </c>
      <c r="F805" s="38">
        <v>172909.15</v>
      </c>
      <c r="G805" s="39">
        <f>SUM(B805:F805)</f>
        <v>775257.05999999994</v>
      </c>
      <c r="H805" s="38">
        <v>190110.28</v>
      </c>
      <c r="I805" s="38">
        <v>146421.73000000001</v>
      </c>
      <c r="J805" s="38">
        <v>0</v>
      </c>
      <c r="K805" s="38">
        <v>0</v>
      </c>
      <c r="L805" s="38">
        <v>124525.86</v>
      </c>
      <c r="M805" s="38">
        <v>27463.200000000001</v>
      </c>
      <c r="N805" s="38">
        <v>0</v>
      </c>
      <c r="O805" s="38">
        <v>0</v>
      </c>
      <c r="P805" s="38">
        <v>0</v>
      </c>
      <c r="Q805" s="39">
        <f>SUM(H805:P805)</f>
        <v>488521.07</v>
      </c>
      <c r="R805" s="39">
        <v>539727.22</v>
      </c>
      <c r="S805" s="39">
        <v>137621.54</v>
      </c>
      <c r="T805" s="39">
        <v>0</v>
      </c>
      <c r="U805" s="39">
        <v>0</v>
      </c>
      <c r="V805" s="39">
        <v>0</v>
      </c>
      <c r="W805" s="83">
        <f>Q805+G805+R805+S805+T805+U805+V805</f>
        <v>1941126.89</v>
      </c>
      <c r="X805" s="41"/>
    </row>
    <row r="806" spans="1:24" ht="12.75" x14ac:dyDescent="0.2">
      <c r="A806" s="82" t="s">
        <v>42</v>
      </c>
      <c r="B806" s="141">
        <f t="shared" ref="B806:W806" si="220">B803+B805-B757</f>
        <v>28035.222000000027</v>
      </c>
      <c r="C806" s="141">
        <f t="shared" si="220"/>
        <v>839616.4900022198</v>
      </c>
      <c r="D806" s="141">
        <f t="shared" si="220"/>
        <v>2096305.7599999993</v>
      </c>
      <c r="E806" s="141">
        <f t="shared" si="220"/>
        <v>3359203.91196782</v>
      </c>
      <c r="F806" s="141">
        <f t="shared" si="220"/>
        <v>1537065.7098507194</v>
      </c>
      <c r="G806" s="39">
        <f t="shared" si="220"/>
        <v>7860227.093820761</v>
      </c>
      <c r="H806" s="141">
        <f t="shared" si="220"/>
        <v>2318083.9000000004</v>
      </c>
      <c r="I806" s="141">
        <f t="shared" si="220"/>
        <v>1416251.5700000005</v>
      </c>
      <c r="J806" s="141">
        <f t="shared" si="220"/>
        <v>434559.72000000026</v>
      </c>
      <c r="K806" s="141">
        <f t="shared" si="220"/>
        <v>381357.14000000007</v>
      </c>
      <c r="L806" s="141">
        <f t="shared" si="220"/>
        <v>1233442.9000000004</v>
      </c>
      <c r="M806" s="141">
        <f t="shared" si="220"/>
        <v>348662.79000000039</v>
      </c>
      <c r="N806" s="141">
        <f t="shared" si="220"/>
        <v>1.1641532182693481E-10</v>
      </c>
      <c r="O806" s="141">
        <f t="shared" si="220"/>
        <v>989954.41999999899</v>
      </c>
      <c r="P806" s="141">
        <f t="shared" si="220"/>
        <v>338089.53000000014</v>
      </c>
      <c r="Q806" s="39">
        <f t="shared" si="220"/>
        <v>7460401.9699999923</v>
      </c>
      <c r="R806" s="39">
        <f t="shared" si="220"/>
        <v>8697336.0800000019</v>
      </c>
      <c r="S806" s="39">
        <f t="shared" si="220"/>
        <v>1761143.46</v>
      </c>
      <c r="T806" s="39">
        <f t="shared" si="220"/>
        <v>3.092281986027956E-11</v>
      </c>
      <c r="U806" s="39">
        <f t="shared" si="220"/>
        <v>1.0368239600211382E-10</v>
      </c>
      <c r="V806" s="39">
        <f t="shared" si="220"/>
        <v>244527.75</v>
      </c>
      <c r="W806" s="140">
        <f t="shared" si="220"/>
        <v>26023636.353820771</v>
      </c>
      <c r="X806" s="41">
        <f>W805+X803</f>
        <v>422487566.56840533</v>
      </c>
    </row>
    <row r="807" spans="1:24" ht="12.75" x14ac:dyDescent="0.2">
      <c r="A807" s="85"/>
      <c r="B807" s="44"/>
      <c r="C807" s="44"/>
      <c r="D807" s="44"/>
      <c r="E807" s="44"/>
      <c r="F807" s="44"/>
      <c r="G807" s="45"/>
      <c r="H807" s="44"/>
      <c r="I807" s="44"/>
      <c r="J807" s="44"/>
      <c r="K807" s="44"/>
      <c r="L807" s="44"/>
      <c r="M807" s="44"/>
      <c r="N807" s="44"/>
      <c r="O807" s="44"/>
      <c r="P807" s="44"/>
      <c r="Q807" s="45"/>
      <c r="R807" s="47"/>
      <c r="S807" s="47"/>
      <c r="T807" s="47"/>
      <c r="U807" s="47"/>
      <c r="V807" s="43"/>
      <c r="W807" s="86"/>
      <c r="X807" s="46"/>
    </row>
    <row r="808" spans="1:24" ht="12.75" x14ac:dyDescent="0.2">
      <c r="A808" s="82" t="s">
        <v>47</v>
      </c>
      <c r="B808" s="38">
        <v>4902.34</v>
      </c>
      <c r="C808" s="38">
        <v>0</v>
      </c>
      <c r="D808" s="38">
        <v>268551.78999999998</v>
      </c>
      <c r="E808" s="38">
        <v>372795.39</v>
      </c>
      <c r="F808" s="38">
        <v>172658.24</v>
      </c>
      <c r="G808" s="39">
        <f>SUM(B808:F808)</f>
        <v>818907.76</v>
      </c>
      <c r="H808" s="38">
        <v>285725.14</v>
      </c>
      <c r="I808" s="38">
        <v>202781.72</v>
      </c>
      <c r="J808" s="38">
        <v>0</v>
      </c>
      <c r="K808" s="38">
        <v>0</v>
      </c>
      <c r="L808" s="38">
        <v>149357.37</v>
      </c>
      <c r="M808" s="38">
        <v>40031.46</v>
      </c>
      <c r="N808" s="38">
        <v>0</v>
      </c>
      <c r="O808" s="38">
        <v>0</v>
      </c>
      <c r="P808" s="38">
        <v>0</v>
      </c>
      <c r="Q808" s="39">
        <f>SUM(H808:P808)</f>
        <v>677895.69</v>
      </c>
      <c r="R808" s="39">
        <v>477987.51</v>
      </c>
      <c r="S808" s="39">
        <v>52080.92</v>
      </c>
      <c r="T808" s="39">
        <v>0</v>
      </c>
      <c r="U808" s="39">
        <v>0</v>
      </c>
      <c r="V808" s="39">
        <v>0</v>
      </c>
      <c r="W808" s="83">
        <f>Q808+G808+R808+S808+T808+U808+V808</f>
        <v>2026871.88</v>
      </c>
      <c r="X808" s="41"/>
    </row>
    <row r="809" spans="1:24" ht="12.75" x14ac:dyDescent="0.2">
      <c r="A809" s="82" t="s">
        <v>42</v>
      </c>
      <c r="B809" s="141">
        <f t="shared" ref="B809:W809" si="221">B806+B808-B760</f>
        <v>14706.062000000027</v>
      </c>
      <c r="C809" s="141">
        <f t="shared" si="221"/>
        <v>839616.4900022198</v>
      </c>
      <c r="D809" s="141">
        <f t="shared" si="221"/>
        <v>2042009.0399999993</v>
      </c>
      <c r="E809" s="141">
        <f t="shared" si="221"/>
        <v>3415111.16196782</v>
      </c>
      <c r="F809" s="141">
        <f t="shared" si="221"/>
        <v>1570214.9498507194</v>
      </c>
      <c r="G809" s="39">
        <f t="shared" si="221"/>
        <v>7881657.7038207613</v>
      </c>
      <c r="H809" s="141">
        <f t="shared" si="221"/>
        <v>2325320.3700000006</v>
      </c>
      <c r="I809" s="141">
        <f t="shared" si="221"/>
        <v>1448601.1300000006</v>
      </c>
      <c r="J809" s="141">
        <f t="shared" si="221"/>
        <v>417127.97000000026</v>
      </c>
      <c r="K809" s="141">
        <f t="shared" si="221"/>
        <v>381357.14000000007</v>
      </c>
      <c r="L809" s="141">
        <f t="shared" si="221"/>
        <v>1241787.4200000004</v>
      </c>
      <c r="M809" s="141">
        <f t="shared" si="221"/>
        <v>351516.52000000043</v>
      </c>
      <c r="N809" s="141">
        <f t="shared" si="221"/>
        <v>1.1641532182693481E-10</v>
      </c>
      <c r="O809" s="141">
        <f t="shared" si="221"/>
        <v>872505.15999999898</v>
      </c>
      <c r="P809" s="141">
        <f t="shared" si="221"/>
        <v>338089.53000000014</v>
      </c>
      <c r="Q809" s="39">
        <f t="shared" si="221"/>
        <v>7376305.2399999928</v>
      </c>
      <c r="R809" s="39">
        <f t="shared" si="221"/>
        <v>8737031.0700000022</v>
      </c>
      <c r="S809" s="39">
        <f t="shared" si="221"/>
        <v>1764953.98</v>
      </c>
      <c r="T809" s="39">
        <f t="shared" si="221"/>
        <v>3.092281986027956E-11</v>
      </c>
      <c r="U809" s="39">
        <f t="shared" si="221"/>
        <v>1.0368239600211382E-10</v>
      </c>
      <c r="V809" s="39">
        <f t="shared" si="221"/>
        <v>255182.01</v>
      </c>
      <c r="W809" s="140">
        <f t="shared" si="221"/>
        <v>26015130.003820769</v>
      </c>
      <c r="X809" s="41">
        <f>W808+X806</f>
        <v>424514438.44840533</v>
      </c>
    </row>
    <row r="810" spans="1:24" ht="12.75" x14ac:dyDescent="0.2">
      <c r="A810" s="85"/>
      <c r="B810" s="43"/>
      <c r="C810" s="43"/>
      <c r="D810" s="43"/>
      <c r="E810" s="43"/>
      <c r="F810" s="43"/>
      <c r="G810" s="47"/>
      <c r="H810" s="43"/>
      <c r="I810" s="43"/>
      <c r="J810" s="43"/>
      <c r="K810" s="43"/>
      <c r="L810" s="43"/>
      <c r="M810" s="43"/>
      <c r="N810" s="43"/>
      <c r="O810" s="43"/>
      <c r="P810" s="43"/>
      <c r="Q810" s="47"/>
      <c r="R810" s="47"/>
      <c r="S810" s="47"/>
      <c r="T810" s="47"/>
      <c r="U810" s="47"/>
      <c r="V810" s="43"/>
      <c r="W810" s="87"/>
      <c r="X810" s="46"/>
    </row>
    <row r="811" spans="1:24" ht="12.75" x14ac:dyDescent="0.2">
      <c r="A811" s="82" t="s">
        <v>48</v>
      </c>
      <c r="B811" s="38">
        <v>0</v>
      </c>
      <c r="C811" s="38">
        <v>0</v>
      </c>
      <c r="D811" s="38">
        <v>234105.25</v>
      </c>
      <c r="E811" s="38">
        <v>251829.89</v>
      </c>
      <c r="F811" s="38">
        <v>183620.69</v>
      </c>
      <c r="G811" s="39">
        <f>SUM(B811:F811)</f>
        <v>669555.83000000007</v>
      </c>
      <c r="H811" s="38">
        <v>305776.12</v>
      </c>
      <c r="I811" s="38">
        <v>213047.09</v>
      </c>
      <c r="J811" s="38">
        <v>0</v>
      </c>
      <c r="K811" s="38">
        <v>0</v>
      </c>
      <c r="L811" s="38">
        <v>146584.9</v>
      </c>
      <c r="M811" s="38">
        <v>39719.660000000003</v>
      </c>
      <c r="N811" s="38">
        <v>0</v>
      </c>
      <c r="O811" s="38">
        <v>19624.98</v>
      </c>
      <c r="P811" s="38">
        <v>0</v>
      </c>
      <c r="Q811" s="39">
        <f>SUM(H811:P811)</f>
        <v>724752.75</v>
      </c>
      <c r="R811" s="39">
        <v>1081617.8</v>
      </c>
      <c r="S811" s="39">
        <v>243410.72</v>
      </c>
      <c r="T811" s="39">
        <v>0</v>
      </c>
      <c r="U811" s="39">
        <v>0</v>
      </c>
      <c r="V811" s="39">
        <v>100152.53</v>
      </c>
      <c r="W811" s="83">
        <f>Q811+G811+R811+S811+T811+U811+V811</f>
        <v>2819489.63</v>
      </c>
      <c r="X811" s="41"/>
    </row>
    <row r="812" spans="1:24" ht="12.75" x14ac:dyDescent="0.2">
      <c r="A812" s="82" t="s">
        <v>42</v>
      </c>
      <c r="B812" s="141">
        <f t="shared" ref="B812:W812" si="222">B809+B811-B763</f>
        <v>14706.062000000027</v>
      </c>
      <c r="C812" s="141">
        <f t="shared" si="222"/>
        <v>735524.98000221979</v>
      </c>
      <c r="D812" s="141">
        <f t="shared" si="222"/>
        <v>1944391.949999999</v>
      </c>
      <c r="E812" s="141">
        <f t="shared" si="222"/>
        <v>3352503.5319678201</v>
      </c>
      <c r="F812" s="141">
        <f t="shared" si="222"/>
        <v>1602128.3398507193</v>
      </c>
      <c r="G812" s="39">
        <f t="shared" si="222"/>
        <v>7649254.8638207614</v>
      </c>
      <c r="H812" s="141">
        <f t="shared" si="222"/>
        <v>2415598.9100000006</v>
      </c>
      <c r="I812" s="141">
        <f t="shared" si="222"/>
        <v>1537300.7700000007</v>
      </c>
      <c r="J812" s="141">
        <f t="shared" si="222"/>
        <v>337394.79000000027</v>
      </c>
      <c r="K812" s="141">
        <f t="shared" si="222"/>
        <v>314582.96000000008</v>
      </c>
      <c r="L812" s="141">
        <f t="shared" si="222"/>
        <v>1271252.9300000004</v>
      </c>
      <c r="M812" s="141">
        <f t="shared" si="222"/>
        <v>354084.83000000042</v>
      </c>
      <c r="N812" s="141">
        <f t="shared" si="222"/>
        <v>1.1641532182693481E-10</v>
      </c>
      <c r="O812" s="141">
        <f t="shared" si="222"/>
        <v>762745.11999999895</v>
      </c>
      <c r="P812" s="141">
        <f t="shared" si="222"/>
        <v>294066.16000000015</v>
      </c>
      <c r="Q812" s="39">
        <f t="shared" si="222"/>
        <v>7287026.4699999932</v>
      </c>
      <c r="R812" s="39">
        <f t="shared" si="222"/>
        <v>8938491.8500000034</v>
      </c>
      <c r="S812" s="39">
        <f t="shared" si="222"/>
        <v>1894411.58</v>
      </c>
      <c r="T812" s="39">
        <f t="shared" si="222"/>
        <v>3.092281986027956E-11</v>
      </c>
      <c r="U812" s="39">
        <f t="shared" si="222"/>
        <v>1.0368239600211382E-10</v>
      </c>
      <c r="V812" s="39">
        <f t="shared" si="222"/>
        <v>355334.54000000004</v>
      </c>
      <c r="W812" s="140">
        <f t="shared" si="222"/>
        <v>26124519.303820767</v>
      </c>
      <c r="X812" s="41">
        <f>W811+X809</f>
        <v>427333928.07840532</v>
      </c>
    </row>
    <row r="813" spans="1:24" ht="12.75" x14ac:dyDescent="0.2">
      <c r="A813" s="85"/>
      <c r="B813" s="44"/>
      <c r="C813" s="44"/>
      <c r="D813" s="44"/>
      <c r="E813" s="44"/>
      <c r="F813" s="44"/>
      <c r="G813" s="45"/>
      <c r="H813" s="44"/>
      <c r="I813" s="44"/>
      <c r="J813" s="44"/>
      <c r="K813" s="44"/>
      <c r="L813" s="44"/>
      <c r="M813" s="44"/>
      <c r="N813" s="44"/>
      <c r="O813" s="44"/>
      <c r="P813" s="44"/>
      <c r="Q813" s="45"/>
      <c r="R813" s="47"/>
      <c r="S813" s="47"/>
      <c r="T813" s="47"/>
      <c r="U813" s="47"/>
      <c r="V813" s="43"/>
      <c r="W813" s="86"/>
      <c r="X813" s="46"/>
    </row>
    <row r="814" spans="1:24" ht="12.75" x14ac:dyDescent="0.2">
      <c r="A814" s="82" t="s">
        <v>49</v>
      </c>
      <c r="B814" s="38">
        <v>0</v>
      </c>
      <c r="C814" s="38">
        <v>117197.52</v>
      </c>
      <c r="D814" s="38">
        <v>290418.33</v>
      </c>
      <c r="E814" s="38">
        <v>261558.85</v>
      </c>
      <c r="F814" s="38">
        <v>150884.76</v>
      </c>
      <c r="G814" s="39">
        <f>SUM(B814:F814)</f>
        <v>820059.46000000008</v>
      </c>
      <c r="H814" s="38">
        <v>175112.57</v>
      </c>
      <c r="I814" s="38">
        <v>90288.7</v>
      </c>
      <c r="J814" s="38">
        <v>69405.460000000006</v>
      </c>
      <c r="K814" s="38">
        <v>61325.48</v>
      </c>
      <c r="L814" s="38">
        <v>171346.27</v>
      </c>
      <c r="M814" s="38">
        <v>42937.36</v>
      </c>
      <c r="N814" s="38">
        <v>29376.720000000001</v>
      </c>
      <c r="O814" s="38">
        <v>0</v>
      </c>
      <c r="P814" s="38">
        <v>0</v>
      </c>
      <c r="Q814" s="39">
        <f>SUM(H814:P814)</f>
        <v>639792.55999999994</v>
      </c>
      <c r="R814" s="39">
        <v>774214.42</v>
      </c>
      <c r="S814" s="39">
        <v>0</v>
      </c>
      <c r="T814" s="39">
        <v>0</v>
      </c>
      <c r="U814" s="39">
        <v>0</v>
      </c>
      <c r="V814" s="39">
        <v>0</v>
      </c>
      <c r="W814" s="83">
        <f>Q814+G814+R814+S814+T814+U814+V814</f>
        <v>2234066.44</v>
      </c>
      <c r="X814" s="41"/>
    </row>
    <row r="815" spans="1:24" ht="12.75" x14ac:dyDescent="0.2">
      <c r="A815" s="82" t="s">
        <v>42</v>
      </c>
      <c r="B815" s="141">
        <f t="shared" ref="B815:W815" si="223">B812+B814-B766</f>
        <v>14706.062000000027</v>
      </c>
      <c r="C815" s="141">
        <f t="shared" si="223"/>
        <v>693635.44000221975</v>
      </c>
      <c r="D815" s="141">
        <f t="shared" si="223"/>
        <v>1899685.4799999988</v>
      </c>
      <c r="E815" s="141">
        <f t="shared" si="223"/>
        <v>3323747.3819678202</v>
      </c>
      <c r="F815" s="141">
        <f t="shared" si="223"/>
        <v>1647176.5298507193</v>
      </c>
      <c r="G815" s="39">
        <f t="shared" si="223"/>
        <v>7578950.8938207626</v>
      </c>
      <c r="H815" s="141">
        <f t="shared" si="223"/>
        <v>2346037.7000000007</v>
      </c>
      <c r="I815" s="141">
        <f t="shared" si="223"/>
        <v>1494382.7000000007</v>
      </c>
      <c r="J815" s="141">
        <f t="shared" si="223"/>
        <v>322677.35000000033</v>
      </c>
      <c r="K815" s="141">
        <f t="shared" si="223"/>
        <v>303523.00000000006</v>
      </c>
      <c r="L815" s="141">
        <f t="shared" si="223"/>
        <v>1320159.2500000005</v>
      </c>
      <c r="M815" s="141">
        <f t="shared" si="223"/>
        <v>361469.10000000044</v>
      </c>
      <c r="N815" s="141">
        <f t="shared" si="223"/>
        <v>29376.720000000118</v>
      </c>
      <c r="O815" s="141">
        <f t="shared" si="223"/>
        <v>610158.61999999895</v>
      </c>
      <c r="P815" s="141">
        <f t="shared" si="223"/>
        <v>210878.47000000015</v>
      </c>
      <c r="Q815" s="39">
        <f t="shared" si="223"/>
        <v>6998662.9099999927</v>
      </c>
      <c r="R815" s="39">
        <f t="shared" si="223"/>
        <v>8785560.8600000031</v>
      </c>
      <c r="S815" s="39">
        <f t="shared" si="223"/>
        <v>1765899.9400000002</v>
      </c>
      <c r="T815" s="39">
        <f t="shared" si="223"/>
        <v>3.092281986027956E-11</v>
      </c>
      <c r="U815" s="39">
        <f t="shared" si="223"/>
        <v>1.0368239600211382E-10</v>
      </c>
      <c r="V815" s="39">
        <f t="shared" si="223"/>
        <v>355334.54000000004</v>
      </c>
      <c r="W815" s="140">
        <f t="shared" si="223"/>
        <v>25484409.143820766</v>
      </c>
      <c r="X815" s="41">
        <f>W814+X812</f>
        <v>429567994.51840532</v>
      </c>
    </row>
    <row r="816" spans="1:24" ht="12.75" x14ac:dyDescent="0.2">
      <c r="A816" s="85"/>
      <c r="B816" s="43"/>
      <c r="C816" s="43"/>
      <c r="D816" s="43"/>
      <c r="E816" s="43"/>
      <c r="F816" s="43"/>
      <c r="G816" s="47"/>
      <c r="H816" s="43"/>
      <c r="I816" s="43"/>
      <c r="J816" s="43"/>
      <c r="K816" s="43"/>
      <c r="L816" s="43"/>
      <c r="M816" s="43"/>
      <c r="N816" s="43"/>
      <c r="O816" s="43"/>
      <c r="P816" s="43"/>
      <c r="Q816" s="47"/>
      <c r="R816" s="47"/>
      <c r="S816" s="47"/>
      <c r="T816" s="47"/>
      <c r="U816" s="47"/>
      <c r="V816" s="43"/>
      <c r="W816" s="87"/>
      <c r="X816" s="46"/>
    </row>
    <row r="817" spans="1:24" ht="12.75" x14ac:dyDescent="0.2">
      <c r="A817" s="82" t="s">
        <v>50</v>
      </c>
      <c r="B817" s="38">
        <v>0</v>
      </c>
      <c r="C817" s="38">
        <v>183960.02</v>
      </c>
      <c r="D817" s="38">
        <v>324617.59999999998</v>
      </c>
      <c r="E817" s="38">
        <v>244210.18</v>
      </c>
      <c r="F817" s="38">
        <v>145195.59</v>
      </c>
      <c r="G817" s="39">
        <f>SUM(B817:F817)</f>
        <v>897983.39</v>
      </c>
      <c r="H817" s="38">
        <v>74072.539999999994</v>
      </c>
      <c r="I817" s="38">
        <v>0</v>
      </c>
      <c r="J817" s="38">
        <v>90826.15</v>
      </c>
      <c r="K817" s="38">
        <v>87248.86</v>
      </c>
      <c r="L817" s="38">
        <v>162003.17000000001</v>
      </c>
      <c r="M817" s="38">
        <v>37693.29</v>
      </c>
      <c r="N817" s="38">
        <v>94812.88</v>
      </c>
      <c r="O817" s="38">
        <v>91933.93</v>
      </c>
      <c r="P817" s="38">
        <v>0</v>
      </c>
      <c r="Q817" s="39">
        <f>SUM(H817:P817)</f>
        <v>638590.81999999983</v>
      </c>
      <c r="R817" s="39">
        <v>551512.64</v>
      </c>
      <c r="S817" s="39">
        <v>233312.64000000001</v>
      </c>
      <c r="T817" s="39">
        <v>0</v>
      </c>
      <c r="U817" s="39">
        <v>0</v>
      </c>
      <c r="V817" s="39">
        <v>0</v>
      </c>
      <c r="W817" s="83">
        <f>Q817+G817+R817+S817+T817+U817+V817</f>
        <v>2321399.4900000002</v>
      </c>
      <c r="X817" s="41"/>
    </row>
    <row r="818" spans="1:24" ht="12.75" x14ac:dyDescent="0.2">
      <c r="A818" s="82" t="s">
        <v>42</v>
      </c>
      <c r="B818" s="141">
        <f t="shared" ref="B818:W818" si="224">B815+B817-B769</f>
        <v>13617.612000000026</v>
      </c>
      <c r="C818" s="141">
        <f t="shared" si="224"/>
        <v>744672.91000221972</v>
      </c>
      <c r="D818" s="141">
        <f t="shared" si="224"/>
        <v>2014967.0499999986</v>
      </c>
      <c r="E818" s="141">
        <f t="shared" si="224"/>
        <v>3330482.4519678205</v>
      </c>
      <c r="F818" s="141">
        <f t="shared" si="224"/>
        <v>1699832.8998507194</v>
      </c>
      <c r="G818" s="39">
        <f t="shared" si="224"/>
        <v>7803572.9238207629</v>
      </c>
      <c r="H818" s="141">
        <f t="shared" si="224"/>
        <v>2172335.2800000007</v>
      </c>
      <c r="I818" s="141">
        <f t="shared" si="224"/>
        <v>1308728.3400000008</v>
      </c>
      <c r="J818" s="141">
        <f t="shared" si="224"/>
        <v>343011.20000000036</v>
      </c>
      <c r="K818" s="141">
        <f t="shared" si="224"/>
        <v>329127.21000000002</v>
      </c>
      <c r="L818" s="141">
        <f t="shared" si="224"/>
        <v>1344838.4000000004</v>
      </c>
      <c r="M818" s="141">
        <f t="shared" si="224"/>
        <v>364151.23000000045</v>
      </c>
      <c r="N818" s="141">
        <f t="shared" si="224"/>
        <v>124189.60000000012</v>
      </c>
      <c r="O818" s="141">
        <f t="shared" si="224"/>
        <v>556026.33999999892</v>
      </c>
      <c r="P818" s="141">
        <f t="shared" si="224"/>
        <v>139119.53000000014</v>
      </c>
      <c r="Q818" s="39">
        <f t="shared" si="224"/>
        <v>6681527.1299999934</v>
      </c>
      <c r="R818" s="39">
        <f t="shared" si="224"/>
        <v>8480997.9100000039</v>
      </c>
      <c r="S818" s="39">
        <f t="shared" si="224"/>
        <v>1800757.82</v>
      </c>
      <c r="T818" s="39">
        <f t="shared" si="224"/>
        <v>3.092281986027956E-11</v>
      </c>
      <c r="U818" s="39">
        <f t="shared" si="224"/>
        <v>1.0368239600211382E-10</v>
      </c>
      <c r="V818" s="39">
        <f t="shared" si="224"/>
        <v>355334.54000000004</v>
      </c>
      <c r="W818" s="140">
        <f t="shared" si="224"/>
        <v>25122190.323820766</v>
      </c>
      <c r="X818" s="41">
        <f>W817+X815</f>
        <v>431889394.00840533</v>
      </c>
    </row>
    <row r="819" spans="1:24" ht="12.75" x14ac:dyDescent="0.2">
      <c r="A819" s="85"/>
      <c r="B819" s="43"/>
      <c r="C819" s="43"/>
      <c r="D819" s="43"/>
      <c r="E819" s="43"/>
      <c r="F819" s="43"/>
      <c r="G819" s="47"/>
      <c r="H819" s="43"/>
      <c r="I819" s="43"/>
      <c r="J819" s="43"/>
      <c r="K819" s="43"/>
      <c r="L819" s="43"/>
      <c r="M819" s="43"/>
      <c r="N819" s="43"/>
      <c r="O819" s="43"/>
      <c r="P819" s="43"/>
      <c r="Q819" s="47"/>
      <c r="R819" s="47"/>
      <c r="S819" s="47"/>
      <c r="T819" s="47"/>
      <c r="U819" s="47"/>
      <c r="V819" s="43"/>
      <c r="W819" s="87"/>
      <c r="X819" s="46"/>
    </row>
    <row r="820" spans="1:24" ht="12.75" x14ac:dyDescent="0.2">
      <c r="A820" s="82" t="s">
        <v>51</v>
      </c>
      <c r="B820" s="38">
        <v>0</v>
      </c>
      <c r="C820" s="38">
        <v>177497.5</v>
      </c>
      <c r="D820" s="38">
        <v>331416.3</v>
      </c>
      <c r="E820" s="38">
        <v>216414.69</v>
      </c>
      <c r="F820" s="38">
        <v>145033.26999999999</v>
      </c>
      <c r="G820" s="39">
        <f>SUM(B820:F820)</f>
        <v>870361.76</v>
      </c>
      <c r="H820" s="38">
        <v>54884.74</v>
      </c>
      <c r="I820" s="38">
        <v>0</v>
      </c>
      <c r="J820" s="38">
        <v>61549.69</v>
      </c>
      <c r="K820" s="38">
        <v>60791.14</v>
      </c>
      <c r="L820" s="38">
        <v>75044.929999999993</v>
      </c>
      <c r="M820" s="38">
        <v>20165.28</v>
      </c>
      <c r="N820" s="38">
        <v>68350.740000000005</v>
      </c>
      <c r="O820" s="38">
        <v>49939</v>
      </c>
      <c r="P820" s="38">
        <v>0</v>
      </c>
      <c r="Q820" s="39">
        <f>SUM(H820:P820)</f>
        <v>390725.52</v>
      </c>
      <c r="R820" s="39">
        <v>553108.61</v>
      </c>
      <c r="S820" s="39">
        <v>549612.36</v>
      </c>
      <c r="T820" s="39">
        <v>0</v>
      </c>
      <c r="U820" s="39">
        <v>0</v>
      </c>
      <c r="V820" s="39">
        <v>0</v>
      </c>
      <c r="W820" s="83">
        <f>Q820+G820+R820+S820+T820+U820+V820</f>
        <v>2363808.25</v>
      </c>
      <c r="X820" s="41"/>
    </row>
    <row r="821" spans="1:24" ht="12.75" x14ac:dyDescent="0.2">
      <c r="A821" s="82" t="s">
        <v>42</v>
      </c>
      <c r="B821" s="141">
        <f t="shared" ref="B821:W821" si="225">B818+B820-B772</f>
        <v>13617.612000000026</v>
      </c>
      <c r="C821" s="141">
        <f t="shared" si="225"/>
        <v>841397.30000221974</v>
      </c>
      <c r="D821" s="141">
        <f t="shared" si="225"/>
        <v>2120161.5799999987</v>
      </c>
      <c r="E821" s="141">
        <f t="shared" si="225"/>
        <v>3294238.6519678207</v>
      </c>
      <c r="F821" s="141">
        <f t="shared" si="225"/>
        <v>1792391.5598507193</v>
      </c>
      <c r="G821" s="39">
        <f t="shared" si="225"/>
        <v>8061806.7038207632</v>
      </c>
      <c r="H821" s="141">
        <f t="shared" si="225"/>
        <v>2025476.1500000008</v>
      </c>
      <c r="I821" s="141">
        <f t="shared" si="225"/>
        <v>1172963.6300000008</v>
      </c>
      <c r="J821" s="141">
        <f t="shared" si="225"/>
        <v>372590.36000000034</v>
      </c>
      <c r="K821" s="141">
        <f t="shared" si="225"/>
        <v>361265.21</v>
      </c>
      <c r="L821" s="141">
        <f t="shared" si="225"/>
        <v>1296712.0100000002</v>
      </c>
      <c r="M821" s="141">
        <f t="shared" si="225"/>
        <v>359397.03000000049</v>
      </c>
      <c r="N821" s="141">
        <f t="shared" si="225"/>
        <v>192540.34000000014</v>
      </c>
      <c r="O821" s="141">
        <f t="shared" si="225"/>
        <v>491838.02999999892</v>
      </c>
      <c r="P821" s="141">
        <f t="shared" si="225"/>
        <v>79278.050000000134</v>
      </c>
      <c r="Q821" s="39">
        <f t="shared" si="225"/>
        <v>6352060.8099999931</v>
      </c>
      <c r="R821" s="39">
        <f t="shared" si="225"/>
        <v>8370285.6100000031</v>
      </c>
      <c r="S821" s="39">
        <f t="shared" si="225"/>
        <v>2067462.9100000001</v>
      </c>
      <c r="T821" s="39">
        <f t="shared" si="225"/>
        <v>3.092281986027956E-11</v>
      </c>
      <c r="U821" s="39">
        <f t="shared" si="225"/>
        <v>1.0368239600211382E-10</v>
      </c>
      <c r="V821" s="39">
        <f t="shared" si="225"/>
        <v>355334.54000000004</v>
      </c>
      <c r="W821" s="140">
        <f t="shared" si="225"/>
        <v>25206950.573820766</v>
      </c>
      <c r="X821" s="41">
        <f>W820+X818</f>
        <v>434253202.25840533</v>
      </c>
    </row>
    <row r="822" spans="1:24" ht="12.75" x14ac:dyDescent="0.2">
      <c r="A822" s="85"/>
      <c r="B822" s="44"/>
      <c r="C822" s="44"/>
      <c r="D822" s="44"/>
      <c r="E822" s="44"/>
      <c r="F822" s="44"/>
      <c r="G822" s="45"/>
      <c r="H822" s="44"/>
      <c r="I822" s="44"/>
      <c r="J822" s="44"/>
      <c r="K822" s="44"/>
      <c r="L822" s="44"/>
      <c r="M822" s="44"/>
      <c r="N822" s="44"/>
      <c r="O822" s="44"/>
      <c r="P822" s="44"/>
      <c r="Q822" s="45"/>
      <c r="R822" s="47"/>
      <c r="S822" s="47"/>
      <c r="T822" s="47"/>
      <c r="U822" s="47"/>
      <c r="V822" s="43"/>
      <c r="W822" s="86"/>
      <c r="X822" s="46"/>
    </row>
    <row r="823" spans="1:24" ht="12.75" x14ac:dyDescent="0.2">
      <c r="A823" s="82" t="s">
        <v>52</v>
      </c>
      <c r="B823" s="38">
        <v>817.06</v>
      </c>
      <c r="C823" s="38">
        <v>164286.39999999999</v>
      </c>
      <c r="D823" s="38">
        <v>298342.75</v>
      </c>
      <c r="E823" s="38">
        <v>147414.72</v>
      </c>
      <c r="F823" s="38">
        <v>160080.75</v>
      </c>
      <c r="G823" s="39">
        <f>SUM(B823:F823)</f>
        <v>770941.67999999993</v>
      </c>
      <c r="H823" s="38">
        <v>48273.84</v>
      </c>
      <c r="I823" s="38">
        <v>0</v>
      </c>
      <c r="J823" s="38">
        <v>65105.760000000002</v>
      </c>
      <c r="K823" s="38">
        <v>62122.98</v>
      </c>
      <c r="L823" s="38">
        <v>73932.05</v>
      </c>
      <c r="M823" s="38">
        <v>25873.29</v>
      </c>
      <c r="N823" s="38">
        <v>63081.65</v>
      </c>
      <c r="O823" s="38">
        <v>76816.179999999993</v>
      </c>
      <c r="P823" s="38">
        <v>0</v>
      </c>
      <c r="Q823" s="39">
        <f>SUM(H823:P823)</f>
        <v>415205.75</v>
      </c>
      <c r="R823" s="39">
        <v>683376.72</v>
      </c>
      <c r="S823" s="39">
        <v>457626.07</v>
      </c>
      <c r="T823" s="39">
        <v>0</v>
      </c>
      <c r="U823" s="39">
        <v>0</v>
      </c>
      <c r="V823" s="39">
        <v>0</v>
      </c>
      <c r="W823" s="83">
        <f>Q823+G823+R823+S823+T823+U823+V823</f>
        <v>2327150.2199999997</v>
      </c>
      <c r="X823" s="41"/>
    </row>
    <row r="824" spans="1:24" ht="12.75" x14ac:dyDescent="0.2">
      <c r="A824" s="82" t="s">
        <v>42</v>
      </c>
      <c r="B824" s="141">
        <f t="shared" ref="B824:W824" si="226">B821+B823-B775</f>
        <v>14434.672000000026</v>
      </c>
      <c r="C824" s="141">
        <f t="shared" si="226"/>
        <v>982962.85000221978</v>
      </c>
      <c r="D824" s="141">
        <f t="shared" si="226"/>
        <v>2307287.0499999989</v>
      </c>
      <c r="E824" s="141">
        <f t="shared" si="226"/>
        <v>3153386.491967821</v>
      </c>
      <c r="F824" s="141">
        <f t="shared" si="226"/>
        <v>1832499.4398507192</v>
      </c>
      <c r="G824" s="39">
        <f t="shared" si="226"/>
        <v>8290570.503820763</v>
      </c>
      <c r="H824" s="141">
        <f t="shared" si="226"/>
        <v>1876938.6800000009</v>
      </c>
      <c r="I824" s="141">
        <f t="shared" si="226"/>
        <v>1034096.1400000008</v>
      </c>
      <c r="J824" s="141">
        <f t="shared" si="226"/>
        <v>427949.89000000036</v>
      </c>
      <c r="K824" s="141">
        <f t="shared" si="226"/>
        <v>414293.17</v>
      </c>
      <c r="L824" s="141">
        <f t="shared" si="226"/>
        <v>1278940.3400000003</v>
      </c>
      <c r="M824" s="141">
        <f t="shared" si="226"/>
        <v>362394.71000000049</v>
      </c>
      <c r="N824" s="141">
        <f t="shared" si="226"/>
        <v>255621.99000000014</v>
      </c>
      <c r="O824" s="141">
        <f t="shared" si="226"/>
        <v>545739.90999999887</v>
      </c>
      <c r="P824" s="141">
        <f t="shared" si="226"/>
        <v>45298.270000000135</v>
      </c>
      <c r="Q824" s="39">
        <f t="shared" si="226"/>
        <v>6241273.0999999931</v>
      </c>
      <c r="R824" s="39">
        <f t="shared" si="226"/>
        <v>8066586.2100000037</v>
      </c>
      <c r="S824" s="39">
        <f t="shared" si="226"/>
        <v>2143525.88</v>
      </c>
      <c r="T824" s="39">
        <f t="shared" si="226"/>
        <v>3.092281986027956E-11</v>
      </c>
      <c r="U824" s="39">
        <f t="shared" si="226"/>
        <v>1.0368239600211382E-10</v>
      </c>
      <c r="V824" s="39">
        <f t="shared" si="226"/>
        <v>355334.54000000004</v>
      </c>
      <c r="W824" s="140">
        <f t="shared" si="226"/>
        <v>25097290.233820766</v>
      </c>
      <c r="X824" s="41">
        <f>W823+X821</f>
        <v>436580352.47840536</v>
      </c>
    </row>
    <row r="825" spans="1:24" ht="12.75" x14ac:dyDescent="0.2">
      <c r="A825" s="85"/>
      <c r="B825" s="43"/>
      <c r="C825" s="43"/>
      <c r="D825" s="43"/>
      <c r="E825" s="43"/>
      <c r="F825" s="43"/>
      <c r="G825" s="47"/>
      <c r="H825" s="43"/>
      <c r="I825" s="43"/>
      <c r="J825" s="43"/>
      <c r="K825" s="43"/>
      <c r="L825" s="43"/>
      <c r="M825" s="43"/>
      <c r="N825" s="43"/>
      <c r="O825" s="43"/>
      <c r="P825" s="43"/>
      <c r="Q825" s="47"/>
      <c r="R825" s="47"/>
      <c r="S825" s="47"/>
      <c r="T825" s="47"/>
      <c r="U825" s="47"/>
      <c r="V825" s="43"/>
      <c r="W825" s="87"/>
      <c r="X825" s="46"/>
    </row>
    <row r="826" spans="1:24" ht="12.75" x14ac:dyDescent="0.2">
      <c r="A826" s="82" t="s">
        <v>53</v>
      </c>
      <c r="B826" s="38">
        <v>0</v>
      </c>
      <c r="C826" s="38">
        <v>47260.67</v>
      </c>
      <c r="D826" s="38">
        <v>288308.24</v>
      </c>
      <c r="E826" s="38">
        <v>0</v>
      </c>
      <c r="F826" s="38">
        <v>126869.52</v>
      </c>
      <c r="G826" s="39">
        <f>SUM(B826:F826)</f>
        <v>462438.43</v>
      </c>
      <c r="H826" s="38">
        <v>46397.74</v>
      </c>
      <c r="I826" s="38">
        <v>0</v>
      </c>
      <c r="J826" s="38">
        <v>3695.9</v>
      </c>
      <c r="K826" s="38">
        <v>3500.94</v>
      </c>
      <c r="L826" s="38">
        <v>6987.51</v>
      </c>
      <c r="M826" s="38">
        <v>22995.16</v>
      </c>
      <c r="N826" s="38">
        <v>19995.96</v>
      </c>
      <c r="O826" s="38">
        <v>97277.74</v>
      </c>
      <c r="P826" s="38">
        <v>0</v>
      </c>
      <c r="Q826" s="39">
        <f>SUM(H826:P826)</f>
        <v>200850.95</v>
      </c>
      <c r="R826" s="39">
        <v>578012.86</v>
      </c>
      <c r="S826" s="39">
        <v>126642.45</v>
      </c>
      <c r="T826" s="39">
        <v>0</v>
      </c>
      <c r="U826" s="39">
        <v>0</v>
      </c>
      <c r="V826" s="39">
        <v>0</v>
      </c>
      <c r="W826" s="83">
        <f>Q826+G826+R826+S826+T826+U826+V826</f>
        <v>1367944.69</v>
      </c>
      <c r="X826" s="41"/>
    </row>
    <row r="827" spans="1:24" ht="13.5" thickBot="1" x14ac:dyDescent="0.25">
      <c r="A827" s="88" t="s">
        <v>42</v>
      </c>
      <c r="B827" s="143">
        <f t="shared" ref="B827:V827" si="227">B824+B826-B778</f>
        <v>14434.672000000026</v>
      </c>
      <c r="C827" s="143">
        <f t="shared" si="227"/>
        <v>1030223.5200022198</v>
      </c>
      <c r="D827" s="143">
        <f t="shared" si="227"/>
        <v>2579222.209999999</v>
      </c>
      <c r="E827" s="143">
        <f t="shared" si="227"/>
        <v>2820488.3519678209</v>
      </c>
      <c r="F827" s="143">
        <f t="shared" si="227"/>
        <v>1791099.9498507192</v>
      </c>
      <c r="G827" s="50">
        <f t="shared" si="227"/>
        <v>8235468.7038207632</v>
      </c>
      <c r="H827" s="143">
        <f t="shared" si="227"/>
        <v>1748994.4400000009</v>
      </c>
      <c r="I827" s="143">
        <f t="shared" si="227"/>
        <v>959570.56000000087</v>
      </c>
      <c r="J827" s="143">
        <f t="shared" si="227"/>
        <v>431645.79000000039</v>
      </c>
      <c r="K827" s="143">
        <f t="shared" si="227"/>
        <v>417794.11</v>
      </c>
      <c r="L827" s="198">
        <f t="shared" si="227"/>
        <v>1165413.5900000003</v>
      </c>
      <c r="M827" s="143">
        <f t="shared" si="227"/>
        <v>357916.59000000043</v>
      </c>
      <c r="N827" s="143">
        <f t="shared" si="227"/>
        <v>275617.95000000013</v>
      </c>
      <c r="O827" s="143">
        <f t="shared" si="227"/>
        <v>573489.38999999885</v>
      </c>
      <c r="P827" s="143">
        <f t="shared" si="227"/>
        <v>45298.270000000135</v>
      </c>
      <c r="Q827" s="50">
        <f t="shared" si="227"/>
        <v>5975740.689999993</v>
      </c>
      <c r="R827" s="50">
        <f t="shared" si="227"/>
        <v>7891732.030000004</v>
      </c>
      <c r="S827" s="50">
        <f t="shared" si="227"/>
        <v>2113005.17</v>
      </c>
      <c r="T827" s="50">
        <f t="shared" si="227"/>
        <v>3.092281986027956E-11</v>
      </c>
      <c r="U827" s="50">
        <f t="shared" si="227"/>
        <v>1.0368239600211382E-10</v>
      </c>
      <c r="V827" s="50">
        <f t="shared" si="227"/>
        <v>219820.91000000003</v>
      </c>
      <c r="W827" s="144">
        <f>W824+W826-W778</f>
        <v>24435767.503820769</v>
      </c>
      <c r="X827" s="51">
        <f>W826+X824</f>
        <v>437948297.16840535</v>
      </c>
    </row>
    <row r="828" spans="1:24" ht="12.75" x14ac:dyDescent="0.2">
      <c r="A828" s="92"/>
      <c r="B828" s="52" t="s">
        <v>131</v>
      </c>
      <c r="C828" s="90"/>
      <c r="D828" s="90"/>
      <c r="E828" s="90"/>
      <c r="F828" s="90"/>
      <c r="G828" s="90"/>
      <c r="I828" s="90"/>
      <c r="J828" s="90"/>
      <c r="K828" s="90"/>
      <c r="L828" s="90"/>
      <c r="M828" s="90"/>
      <c r="N828" s="90"/>
      <c r="O828" s="171"/>
      <c r="P828" s="90"/>
      <c r="Q828" s="52" t="s">
        <v>191</v>
      </c>
      <c r="S828" s="52"/>
      <c r="T828" s="52"/>
      <c r="U828" s="52"/>
      <c r="V828" s="52"/>
      <c r="W828" s="90"/>
      <c r="X828" s="91"/>
    </row>
    <row r="829" spans="1:24" ht="12.75" x14ac:dyDescent="0.2">
      <c r="P829" t="s">
        <v>122</v>
      </c>
      <c r="X829" s="9"/>
    </row>
    <row r="830" spans="1:24" ht="12.75" x14ac:dyDescent="0.2">
      <c r="B830" s="249"/>
    </row>
    <row r="832" spans="1:24" ht="27" x14ac:dyDescent="0.35">
      <c r="A832" s="133" t="s">
        <v>196</v>
      </c>
      <c r="B832" s="54"/>
      <c r="C832" s="122"/>
      <c r="D832" s="58"/>
      <c r="E832" s="127"/>
      <c r="F832" s="128"/>
      <c r="G832" s="127"/>
      <c r="H832" s="129"/>
      <c r="I832" s="130"/>
      <c r="J832" s="130"/>
      <c r="K832" s="130"/>
      <c r="L832" s="130"/>
      <c r="M832" s="130"/>
      <c r="N832" s="130"/>
      <c r="O832" s="130"/>
      <c r="P832" s="130"/>
      <c r="Q832" s="130"/>
      <c r="R832" s="128"/>
      <c r="S832" s="128"/>
      <c r="T832" s="128"/>
      <c r="U832" s="128"/>
      <c r="V832" s="128"/>
      <c r="W832" s="130"/>
      <c r="X832" s="131"/>
    </row>
    <row r="833" spans="1:24" ht="15.75" x14ac:dyDescent="0.25">
      <c r="A833" s="136"/>
      <c r="B833" s="170"/>
      <c r="C833" s="54"/>
      <c r="D833" s="53"/>
      <c r="E833" s="53"/>
      <c r="F833" s="132"/>
      <c r="H833" s="55"/>
      <c r="I833" s="55"/>
      <c r="J833" s="54"/>
      <c r="K833" s="56"/>
      <c r="L833" s="57"/>
      <c r="M833" s="54"/>
      <c r="N833" s="54" t="s">
        <v>60</v>
      </c>
      <c r="O833" s="54"/>
      <c r="P833" s="54"/>
      <c r="Q833" s="57"/>
      <c r="R833" s="58"/>
      <c r="S833" s="58"/>
      <c r="T833" s="58"/>
      <c r="U833" s="58"/>
      <c r="V833" s="58"/>
      <c r="W833" s="54"/>
      <c r="X833" s="54"/>
    </row>
    <row r="834" spans="1:24" ht="27" x14ac:dyDescent="0.35">
      <c r="A834" s="134" t="s">
        <v>6</v>
      </c>
      <c r="B834" s="122"/>
      <c r="C834" s="122"/>
      <c r="D834" s="122"/>
      <c r="E834" s="122"/>
      <c r="F834" s="122"/>
      <c r="H834" s="122"/>
      <c r="I834" s="122"/>
      <c r="J834" s="122"/>
      <c r="K834" s="122"/>
      <c r="L834" s="122"/>
      <c r="M834" s="122"/>
      <c r="N834" s="122"/>
      <c r="O834" s="122"/>
      <c r="P834" s="122"/>
      <c r="Q834" s="122"/>
      <c r="R834" s="122"/>
      <c r="S834" s="122"/>
      <c r="T834" s="122"/>
      <c r="U834" s="122"/>
      <c r="V834" s="122"/>
      <c r="X834" s="122"/>
    </row>
    <row r="835" spans="1:24" ht="12" thickBot="1" x14ac:dyDescent="0.25">
      <c r="B835" s="2"/>
      <c r="C835" s="2"/>
      <c r="D835" s="2"/>
      <c r="E835" s="2"/>
      <c r="F835" s="59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 t="s">
        <v>60</v>
      </c>
      <c r="W835" s="2" t="s">
        <v>60</v>
      </c>
      <c r="X835" s="57"/>
    </row>
    <row r="836" spans="1:24" x14ac:dyDescent="0.2">
      <c r="A836" s="14"/>
      <c r="B836" s="15"/>
      <c r="C836" s="15"/>
      <c r="D836" s="15"/>
      <c r="E836" s="15"/>
      <c r="F836" s="15"/>
      <c r="G836" s="15"/>
      <c r="H836" s="15"/>
      <c r="I836" s="15"/>
      <c r="J836" s="15"/>
      <c r="K836" s="15"/>
      <c r="L836" s="15"/>
      <c r="M836" s="15"/>
      <c r="N836" s="15"/>
      <c r="O836" s="15"/>
      <c r="P836" s="15"/>
      <c r="Q836" s="15"/>
      <c r="R836" s="16"/>
      <c r="S836" s="16"/>
      <c r="T836" s="16"/>
      <c r="U836" s="16"/>
      <c r="V836" s="16"/>
      <c r="W836" s="15"/>
      <c r="X836" s="60" t="s">
        <v>60</v>
      </c>
    </row>
    <row r="837" spans="1:24" ht="13.5" thickBot="1" x14ac:dyDescent="0.25">
      <c r="A837" s="18"/>
      <c r="B837" s="61"/>
      <c r="C837" s="62"/>
      <c r="D837" s="63" t="s">
        <v>73</v>
      </c>
      <c r="E837" s="64"/>
      <c r="F837" s="64"/>
      <c r="G837" s="64"/>
      <c r="H837" s="61"/>
      <c r="I837" s="64"/>
      <c r="J837" s="64"/>
      <c r="K837" s="65" t="s">
        <v>74</v>
      </c>
      <c r="L837" s="64"/>
      <c r="M837" s="64"/>
      <c r="N837" s="64"/>
      <c r="O837" s="64"/>
      <c r="P837" s="64"/>
      <c r="Q837" s="138"/>
      <c r="R837" s="64"/>
      <c r="S837" s="64"/>
      <c r="T837" s="64"/>
      <c r="U837" s="64"/>
      <c r="V837" s="64"/>
      <c r="W837" s="66"/>
      <c r="X837" s="36" t="s">
        <v>60</v>
      </c>
    </row>
    <row r="838" spans="1:24" ht="12" x14ac:dyDescent="0.2">
      <c r="A838" s="67"/>
      <c r="B838" s="68" t="s">
        <v>11</v>
      </c>
      <c r="C838" s="68" t="s">
        <v>12</v>
      </c>
      <c r="D838" s="68" t="s">
        <v>13</v>
      </c>
      <c r="E838" s="68" t="s">
        <v>14</v>
      </c>
      <c r="F838" s="68" t="s">
        <v>15</v>
      </c>
      <c r="G838" s="69" t="s">
        <v>16</v>
      </c>
      <c r="H838" s="68" t="s">
        <v>17</v>
      </c>
      <c r="I838" s="70"/>
      <c r="J838" s="70"/>
      <c r="K838" s="70"/>
      <c r="L838" s="70"/>
      <c r="M838" s="68" t="s">
        <v>18</v>
      </c>
      <c r="N838" s="68" t="s">
        <v>19</v>
      </c>
      <c r="O838" s="68" t="s">
        <v>20</v>
      </c>
      <c r="P838" s="68" t="s">
        <v>21</v>
      </c>
      <c r="Q838" s="69" t="s">
        <v>16</v>
      </c>
      <c r="R838" s="203" t="s">
        <v>69</v>
      </c>
      <c r="S838" s="202" t="s">
        <v>126</v>
      </c>
      <c r="T838" s="202" t="s">
        <v>138</v>
      </c>
      <c r="U838" s="202" t="s">
        <v>134</v>
      </c>
      <c r="V838" s="202" t="s">
        <v>136</v>
      </c>
      <c r="W838" s="72" t="s">
        <v>7</v>
      </c>
      <c r="X838" s="73" t="s">
        <v>70</v>
      </c>
    </row>
    <row r="839" spans="1:24" ht="12.75" thickBot="1" x14ac:dyDescent="0.25">
      <c r="A839" s="75"/>
      <c r="B839" s="76" t="s">
        <v>23</v>
      </c>
      <c r="C839" s="76" t="s">
        <v>24</v>
      </c>
      <c r="D839" s="76" t="s">
        <v>25</v>
      </c>
      <c r="E839" s="76" t="s">
        <v>26</v>
      </c>
      <c r="F839" s="76" t="s">
        <v>27</v>
      </c>
      <c r="G839" s="77" t="s">
        <v>28</v>
      </c>
      <c r="H839" s="76" t="s">
        <v>29</v>
      </c>
      <c r="I839" s="76" t="s">
        <v>30</v>
      </c>
      <c r="J839" s="76" t="s">
        <v>31</v>
      </c>
      <c r="K839" s="76" t="s">
        <v>32</v>
      </c>
      <c r="L839" s="76" t="s">
        <v>33</v>
      </c>
      <c r="M839" s="76" t="s">
        <v>34</v>
      </c>
      <c r="N839" s="76" t="s">
        <v>35</v>
      </c>
      <c r="O839" s="76" t="s">
        <v>36</v>
      </c>
      <c r="P839" s="76" t="s">
        <v>37</v>
      </c>
      <c r="Q839" s="77" t="s">
        <v>28</v>
      </c>
      <c r="R839" s="204" t="s">
        <v>82</v>
      </c>
      <c r="S839" s="78" t="s">
        <v>130</v>
      </c>
      <c r="T839" s="78" t="s">
        <v>139</v>
      </c>
      <c r="U839" s="78" t="s">
        <v>135</v>
      </c>
      <c r="V839" s="78" t="s">
        <v>189</v>
      </c>
      <c r="W839" s="79" t="s">
        <v>10</v>
      </c>
      <c r="X839" s="80" t="s">
        <v>71</v>
      </c>
    </row>
    <row r="840" spans="1:24" x14ac:dyDescent="0.2">
      <c r="A840" s="18"/>
      <c r="B840" s="33"/>
      <c r="C840" s="33"/>
      <c r="D840" s="33"/>
      <c r="E840" s="33"/>
      <c r="F840" s="33"/>
      <c r="G840" s="34"/>
      <c r="H840" s="33"/>
      <c r="I840" s="33"/>
      <c r="J840" s="33"/>
      <c r="K840" s="33"/>
      <c r="L840" s="33"/>
      <c r="M840" s="33"/>
      <c r="N840" s="33"/>
      <c r="O840" s="33"/>
      <c r="P840" s="33"/>
      <c r="Q840" s="34"/>
      <c r="R840" s="205"/>
      <c r="S840" s="214"/>
      <c r="T840" s="214"/>
      <c r="U840" s="214"/>
      <c r="V840" s="35"/>
      <c r="W840" s="81"/>
      <c r="X840" s="36"/>
    </row>
    <row r="841" spans="1:24" ht="12.75" x14ac:dyDescent="0.2">
      <c r="A841" s="82" t="s">
        <v>41</v>
      </c>
      <c r="B841" s="38">
        <v>0</v>
      </c>
      <c r="C841" s="38">
        <v>63898.55</v>
      </c>
      <c r="D841" s="38">
        <v>330578.38</v>
      </c>
      <c r="E841" s="38">
        <v>0</v>
      </c>
      <c r="F841" s="38">
        <v>96148.74</v>
      </c>
      <c r="G841" s="39">
        <f>SUM(B841:F841)</f>
        <v>490625.67</v>
      </c>
      <c r="H841" s="38">
        <v>51323.73</v>
      </c>
      <c r="I841" s="38">
        <v>0</v>
      </c>
      <c r="J841" s="38">
        <v>15936.84</v>
      </c>
      <c r="K841" s="38">
        <v>16226.3</v>
      </c>
      <c r="L841" s="38">
        <v>71798.320000000007</v>
      </c>
      <c r="M841" s="38">
        <v>16105.47</v>
      </c>
      <c r="N841" s="38">
        <v>17818.68</v>
      </c>
      <c r="O841" s="38">
        <v>98197.69</v>
      </c>
      <c r="P841" s="38">
        <v>0</v>
      </c>
      <c r="Q841" s="39">
        <f>SUM(H841:P841)</f>
        <v>287407.03000000003</v>
      </c>
      <c r="R841" s="39">
        <v>346256.88</v>
      </c>
      <c r="S841" s="39">
        <v>0</v>
      </c>
      <c r="T841" s="39">
        <v>0</v>
      </c>
      <c r="U841" s="39">
        <v>0</v>
      </c>
      <c r="V841" s="39">
        <v>0</v>
      </c>
      <c r="W841" s="83">
        <f>Q841+G841+R841+S841+T841+U841+V841</f>
        <v>1124289.58</v>
      </c>
      <c r="X841" s="41"/>
    </row>
    <row r="842" spans="1:24" ht="12.75" x14ac:dyDescent="0.2">
      <c r="A842" s="82" t="s">
        <v>42</v>
      </c>
      <c r="B842" s="141">
        <f t="shared" ref="B842:W842" si="228">B827+B841-B793</f>
        <v>14434.672000000026</v>
      </c>
      <c r="C842" s="141">
        <f t="shared" si="228"/>
        <v>1017391.0127588199</v>
      </c>
      <c r="D842" s="141">
        <f t="shared" si="228"/>
        <v>2909800.5899999989</v>
      </c>
      <c r="E842" s="141">
        <f t="shared" si="228"/>
        <v>2461218.3173991209</v>
      </c>
      <c r="F842" s="141">
        <f t="shared" si="228"/>
        <v>1734353.2988528991</v>
      </c>
      <c r="G842" s="172">
        <f t="shared" si="228"/>
        <v>8137197.8910108432</v>
      </c>
      <c r="H842" s="141">
        <f>H827+H841-H793</f>
        <v>1761129.1900000009</v>
      </c>
      <c r="I842" s="141">
        <f t="shared" si="228"/>
        <v>959570.56000000087</v>
      </c>
      <c r="J842" s="141">
        <f t="shared" si="228"/>
        <v>407201.89000000042</v>
      </c>
      <c r="K842" s="141">
        <f t="shared" si="228"/>
        <v>393334.43999999994</v>
      </c>
      <c r="L842" s="141">
        <f t="shared" si="228"/>
        <v>1120380.2200000004</v>
      </c>
      <c r="M842" s="141">
        <f t="shared" si="228"/>
        <v>349378.94000000041</v>
      </c>
      <c r="N842" s="141">
        <f t="shared" si="228"/>
        <v>293436.63000000012</v>
      </c>
      <c r="O842" s="141">
        <f t="shared" si="228"/>
        <v>590351.88999999897</v>
      </c>
      <c r="P842" s="141">
        <f t="shared" si="228"/>
        <v>45298.270000000135</v>
      </c>
      <c r="Q842" s="39">
        <f t="shared" si="228"/>
        <v>5920082.0299999928</v>
      </c>
      <c r="R842" s="172">
        <f t="shared" si="228"/>
        <v>7472291.8900000043</v>
      </c>
      <c r="S842" s="172">
        <f t="shared" si="228"/>
        <v>2079447.04</v>
      </c>
      <c r="T842" s="172">
        <f t="shared" si="228"/>
        <v>3.092281986027956E-11</v>
      </c>
      <c r="U842" s="172">
        <f t="shared" si="228"/>
        <v>1.0368239600211382E-10</v>
      </c>
      <c r="V842" s="172">
        <f t="shared" si="228"/>
        <v>219820.91000000003</v>
      </c>
      <c r="W842" s="83">
        <f t="shared" si="228"/>
        <v>23828839.761010848</v>
      </c>
      <c r="X842" s="41">
        <f>X827+W841</f>
        <v>439072586.74840534</v>
      </c>
    </row>
    <row r="843" spans="1:24" ht="12.75" x14ac:dyDescent="0.2">
      <c r="A843" s="85"/>
      <c r="B843" s="38"/>
      <c r="C843" s="38"/>
      <c r="D843" s="38"/>
      <c r="E843" s="38"/>
      <c r="F843" s="38"/>
      <c r="G843" s="39"/>
      <c r="H843" s="38"/>
      <c r="I843" s="38"/>
      <c r="J843" s="38"/>
      <c r="K843" s="38"/>
      <c r="L843" s="38"/>
      <c r="M843" s="38"/>
      <c r="N843" s="38"/>
      <c r="O843" s="38"/>
      <c r="P843" s="38"/>
      <c r="Q843" s="39" t="s">
        <v>60</v>
      </c>
      <c r="R843" s="47"/>
      <c r="S843" s="47"/>
      <c r="T843" s="47"/>
      <c r="U843" s="47"/>
      <c r="V843" s="43"/>
      <c r="W843" s="83"/>
      <c r="X843" s="41"/>
    </row>
    <row r="844" spans="1:24" ht="12.75" x14ac:dyDescent="0.2">
      <c r="A844" s="82" t="s">
        <v>43</v>
      </c>
      <c r="B844" s="38">
        <v>0</v>
      </c>
      <c r="C844" s="38">
        <v>135688.72</v>
      </c>
      <c r="D844" s="38">
        <v>234579.02</v>
      </c>
      <c r="E844" s="38">
        <v>0</v>
      </c>
      <c r="F844" s="38">
        <v>138280.85</v>
      </c>
      <c r="G844" s="39">
        <f>SUM(B844:F844)</f>
        <v>508548.58999999997</v>
      </c>
      <c r="H844" s="38">
        <v>0</v>
      </c>
      <c r="I844" s="38">
        <v>0</v>
      </c>
      <c r="J844" s="38">
        <v>0</v>
      </c>
      <c r="K844" s="38">
        <v>0</v>
      </c>
      <c r="L844" s="38">
        <v>25752.54</v>
      </c>
      <c r="M844" s="38">
        <v>12064.02</v>
      </c>
      <c r="N844" s="38">
        <v>47158.84</v>
      </c>
      <c r="O844" s="38">
        <v>72563.41</v>
      </c>
      <c r="P844" s="38">
        <v>0</v>
      </c>
      <c r="Q844" s="39">
        <f>SUM(H844:P844)</f>
        <v>157538.81</v>
      </c>
      <c r="R844" s="39">
        <v>395733.44</v>
      </c>
      <c r="S844" s="39">
        <v>22838.68</v>
      </c>
      <c r="T844" s="39">
        <v>0</v>
      </c>
      <c r="U844" s="39">
        <v>0</v>
      </c>
      <c r="V844" s="39">
        <v>98386.99</v>
      </c>
      <c r="W844" s="83">
        <f>Q844+G844+R844+S844+T844+U844+V844</f>
        <v>1183046.5099999998</v>
      </c>
      <c r="X844" s="41"/>
    </row>
    <row r="845" spans="1:24" ht="12.75" x14ac:dyDescent="0.2">
      <c r="A845" s="82" t="s">
        <v>42</v>
      </c>
      <c r="B845" s="141">
        <f t="shared" ref="B845:W845" si="229">B842+B844-B796</f>
        <v>14162.320000000025</v>
      </c>
      <c r="C845" s="141">
        <f t="shared" si="229"/>
        <v>1102082.9899999998</v>
      </c>
      <c r="D845" s="141">
        <f t="shared" si="229"/>
        <v>3144379.6099999989</v>
      </c>
      <c r="E845" s="141">
        <f t="shared" si="229"/>
        <v>2330416.0500000007</v>
      </c>
      <c r="F845" s="141">
        <f t="shared" si="229"/>
        <v>1736216.4599999993</v>
      </c>
      <c r="G845" s="39">
        <f>G842+G844-G796</f>
        <v>8327257.4300000034</v>
      </c>
      <c r="H845" s="141">
        <f t="shared" si="229"/>
        <v>1616178.8800000008</v>
      </c>
      <c r="I845" s="141">
        <f t="shared" si="229"/>
        <v>884225.03000000084</v>
      </c>
      <c r="J845" s="141">
        <f t="shared" si="229"/>
        <v>403305.52000000043</v>
      </c>
      <c r="K845" s="141">
        <f t="shared" si="229"/>
        <v>389866.07999999996</v>
      </c>
      <c r="L845" s="141">
        <f t="shared" si="229"/>
        <v>1125388.0200000005</v>
      </c>
      <c r="M845" s="141">
        <f t="shared" si="229"/>
        <v>337156.42000000045</v>
      </c>
      <c r="N845" s="141">
        <f t="shared" si="229"/>
        <v>340595.47000000009</v>
      </c>
      <c r="O845" s="141">
        <f t="shared" si="229"/>
        <v>554745.07999999903</v>
      </c>
      <c r="P845" s="141">
        <f t="shared" si="229"/>
        <v>45298.270000000135</v>
      </c>
      <c r="Q845" s="39">
        <f t="shared" si="229"/>
        <v>5696758.7699999921</v>
      </c>
      <c r="R845" s="39">
        <f t="shared" si="229"/>
        <v>7245214.6400000043</v>
      </c>
      <c r="S845" s="39">
        <f t="shared" si="229"/>
        <v>2084458.2000000002</v>
      </c>
      <c r="T845" s="39">
        <f t="shared" si="229"/>
        <v>3.092281986027956E-11</v>
      </c>
      <c r="U845" s="39">
        <f t="shared" si="229"/>
        <v>1.0368239600211382E-10</v>
      </c>
      <c r="V845" s="39">
        <f t="shared" si="229"/>
        <v>198539.52000000002</v>
      </c>
      <c r="W845" s="140">
        <f t="shared" si="229"/>
        <v>23552228.560000006</v>
      </c>
      <c r="X845" s="41">
        <f>W844+X842</f>
        <v>440255633.25840533</v>
      </c>
    </row>
    <row r="846" spans="1:24" ht="12.75" x14ac:dyDescent="0.2">
      <c r="A846" s="85"/>
      <c r="B846" s="44"/>
      <c r="C846" s="44"/>
      <c r="D846" s="44"/>
      <c r="E846" s="44"/>
      <c r="F846" s="44"/>
      <c r="G846" s="45"/>
      <c r="H846" s="44"/>
      <c r="I846" s="44"/>
      <c r="J846" s="44"/>
      <c r="K846" s="44"/>
      <c r="L846" s="44"/>
      <c r="M846" s="44"/>
      <c r="N846" s="44"/>
      <c r="O846" s="44"/>
      <c r="P846" s="44"/>
      <c r="Q846" s="45"/>
      <c r="R846" s="47"/>
      <c r="S846" s="47"/>
      <c r="T846" s="47"/>
      <c r="U846" s="47"/>
      <c r="V846" s="43"/>
      <c r="W846" s="86"/>
      <c r="X846" s="46"/>
    </row>
    <row r="847" spans="1:24" ht="12.75" x14ac:dyDescent="0.2">
      <c r="A847" s="82" t="s">
        <v>44</v>
      </c>
      <c r="B847" s="38">
        <v>0</v>
      </c>
      <c r="C847" s="38">
        <v>185369.83</v>
      </c>
      <c r="D847" s="38">
        <v>331584.5</v>
      </c>
      <c r="E847" s="38">
        <v>0</v>
      </c>
      <c r="F847" s="38">
        <v>152665.26</v>
      </c>
      <c r="G847" s="39">
        <f>SUM(B847:F847)</f>
        <v>669619.59</v>
      </c>
      <c r="H847" s="38">
        <v>0</v>
      </c>
      <c r="I847" s="38">
        <v>0</v>
      </c>
      <c r="J847" s="38">
        <v>50881.56</v>
      </c>
      <c r="K847" s="38">
        <v>47650.77</v>
      </c>
      <c r="L847" s="38">
        <v>80466.31</v>
      </c>
      <c r="M847" s="38">
        <v>20717.169999999998</v>
      </c>
      <c r="N847" s="38">
        <v>63827.49</v>
      </c>
      <c r="O847" s="38">
        <v>11079.31</v>
      </c>
      <c r="P847" s="38">
        <v>0</v>
      </c>
      <c r="Q847" s="39">
        <f>SUM(H847:P847)</f>
        <v>274622.61</v>
      </c>
      <c r="R847" s="39">
        <v>616965.39</v>
      </c>
      <c r="S847" s="39">
        <v>120949.9</v>
      </c>
      <c r="T847" s="39">
        <v>0</v>
      </c>
      <c r="U847" s="39">
        <v>0</v>
      </c>
      <c r="V847" s="39">
        <v>0</v>
      </c>
      <c r="W847" s="83">
        <f>Q847+G847+R847+S847+T847+U847+V847</f>
        <v>1682157.4899999998</v>
      </c>
      <c r="X847" s="41"/>
    </row>
    <row r="848" spans="1:24" ht="12.75" x14ac:dyDescent="0.2">
      <c r="A848" s="82" t="s">
        <v>42</v>
      </c>
      <c r="B848" s="141">
        <f t="shared" ref="B848:W848" si="230">B845+B847-B799</f>
        <v>13345.260000000026</v>
      </c>
      <c r="C848" s="141">
        <f t="shared" si="230"/>
        <v>1209927.5199999998</v>
      </c>
      <c r="D848" s="141">
        <f t="shared" si="230"/>
        <v>3378159.419999999</v>
      </c>
      <c r="E848" s="141">
        <f t="shared" si="230"/>
        <v>2037409.9100000006</v>
      </c>
      <c r="F848" s="141">
        <f t="shared" si="230"/>
        <v>1782778.7499999993</v>
      </c>
      <c r="G848" s="39">
        <f t="shared" si="230"/>
        <v>8421620.8600000031</v>
      </c>
      <c r="H848" s="141">
        <f t="shared" si="230"/>
        <v>1422115.6200000008</v>
      </c>
      <c r="I848" s="141">
        <f t="shared" si="230"/>
        <v>791069.05000000086</v>
      </c>
      <c r="J848" s="141">
        <f t="shared" si="230"/>
        <v>413935.59000000043</v>
      </c>
      <c r="K848" s="141">
        <f t="shared" si="230"/>
        <v>394150.56999999995</v>
      </c>
      <c r="L848" s="141">
        <f t="shared" si="230"/>
        <v>1203704.4100000006</v>
      </c>
      <c r="M848" s="141">
        <f t="shared" si="230"/>
        <v>329683.73000000045</v>
      </c>
      <c r="N848" s="141">
        <f t="shared" si="230"/>
        <v>404422.96000000008</v>
      </c>
      <c r="O848" s="141">
        <f t="shared" si="230"/>
        <v>520230.69999999908</v>
      </c>
      <c r="P848" s="141">
        <f t="shared" si="230"/>
        <v>40220.200000000135</v>
      </c>
      <c r="Q848" s="39">
        <f t="shared" si="230"/>
        <v>5519532.8299999926</v>
      </c>
      <c r="R848" s="39">
        <f t="shared" si="230"/>
        <v>7065145.6000000043</v>
      </c>
      <c r="S848" s="39">
        <f t="shared" si="230"/>
        <v>2002695.12</v>
      </c>
      <c r="T848" s="39">
        <f t="shared" si="230"/>
        <v>3.092281986027956E-11</v>
      </c>
      <c r="U848" s="39">
        <f t="shared" si="230"/>
        <v>1.0368239600211382E-10</v>
      </c>
      <c r="V848" s="226">
        <f t="shared" si="230"/>
        <v>198539.52000000002</v>
      </c>
      <c r="W848" s="83">
        <f t="shared" si="230"/>
        <v>23207533.930000003</v>
      </c>
      <c r="X848" s="41">
        <f>W847+X845</f>
        <v>441937790.74840534</v>
      </c>
    </row>
    <row r="849" spans="1:24" ht="12.75" x14ac:dyDescent="0.2">
      <c r="A849" s="85"/>
      <c r="B849" s="43"/>
      <c r="C849" s="43"/>
      <c r="D849" s="43"/>
      <c r="E849" s="43"/>
      <c r="F849" s="43"/>
      <c r="G849" s="47"/>
      <c r="H849" s="43"/>
      <c r="I849" s="43"/>
      <c r="J849" s="43"/>
      <c r="K849" s="43"/>
      <c r="L849" s="43"/>
      <c r="M849" s="43"/>
      <c r="N849" s="43"/>
      <c r="O849" s="43"/>
      <c r="P849" s="43"/>
      <c r="Q849" s="47"/>
      <c r="R849" s="47"/>
      <c r="S849" s="47"/>
      <c r="T849" s="47"/>
      <c r="U849" s="47"/>
      <c r="V849" s="43"/>
      <c r="W849" s="87"/>
      <c r="X849" s="46"/>
    </row>
    <row r="850" spans="1:24" ht="12.75" x14ac:dyDescent="0.2">
      <c r="A850" s="82" t="s">
        <v>45</v>
      </c>
      <c r="B850" s="38">
        <v>0</v>
      </c>
      <c r="C850" s="38">
        <v>160962.66</v>
      </c>
      <c r="D850" s="38">
        <v>270795.01</v>
      </c>
      <c r="E850" s="38">
        <v>80833.77</v>
      </c>
      <c r="F850" s="38">
        <v>168479.49</v>
      </c>
      <c r="G850" s="39">
        <f>SUM(B850:F850)</f>
        <v>681070.93</v>
      </c>
      <c r="H850" s="38">
        <v>35424.97</v>
      </c>
      <c r="I850" s="38">
        <v>0</v>
      </c>
      <c r="J850" s="38">
        <v>57505.55</v>
      </c>
      <c r="K850" s="38">
        <v>55875.46</v>
      </c>
      <c r="L850" s="38">
        <v>67705.62</v>
      </c>
      <c r="M850" s="38">
        <v>24898.19</v>
      </c>
      <c r="N850" s="38">
        <v>64680.98</v>
      </c>
      <c r="O850" s="38">
        <v>20655.21</v>
      </c>
      <c r="P850" s="38">
        <v>0</v>
      </c>
      <c r="Q850" s="39">
        <f>SUM(H850:P850)</f>
        <v>326745.98000000004</v>
      </c>
      <c r="R850" s="39">
        <v>352652.31</v>
      </c>
      <c r="S850" s="39">
        <v>214373.7</v>
      </c>
      <c r="T850" s="39">
        <v>0</v>
      </c>
      <c r="U850" s="39">
        <v>0</v>
      </c>
      <c r="V850" s="39">
        <v>0</v>
      </c>
      <c r="W850" s="83">
        <f>Q850+G850+R850+S850+T850+U850+V850</f>
        <v>1574842.9200000002</v>
      </c>
      <c r="X850" s="41"/>
    </row>
    <row r="851" spans="1:24" ht="12.75" x14ac:dyDescent="0.2">
      <c r="A851" s="82" t="s">
        <v>42</v>
      </c>
      <c r="B851" s="141">
        <f t="shared" ref="B851:W851" si="231">B848+B850-B802</f>
        <v>13345.260000000026</v>
      </c>
      <c r="C851" s="141">
        <f t="shared" si="231"/>
        <v>1236121.8699999996</v>
      </c>
      <c r="D851" s="141">
        <f t="shared" si="231"/>
        <v>3508740.419999999</v>
      </c>
      <c r="E851" s="141">
        <f t="shared" si="231"/>
        <v>1864336.2900000005</v>
      </c>
      <c r="F851" s="141">
        <f t="shared" si="231"/>
        <v>1812826.3099999994</v>
      </c>
      <c r="G851" s="39">
        <f t="shared" si="231"/>
        <v>8435370.1500000022</v>
      </c>
      <c r="H851" s="141">
        <f t="shared" si="231"/>
        <v>1267101.6700000009</v>
      </c>
      <c r="I851" s="141">
        <f t="shared" si="231"/>
        <v>652539.24000000092</v>
      </c>
      <c r="J851" s="141">
        <f t="shared" si="231"/>
        <v>414906.91000000044</v>
      </c>
      <c r="K851" s="141">
        <f t="shared" si="231"/>
        <v>394741.93</v>
      </c>
      <c r="L851" s="141">
        <f t="shared" si="231"/>
        <v>1155504.8500000008</v>
      </c>
      <c r="M851" s="141">
        <f t="shared" si="231"/>
        <v>330663.55000000045</v>
      </c>
      <c r="N851" s="141">
        <f t="shared" si="231"/>
        <v>469103.94000000006</v>
      </c>
      <c r="O851" s="141">
        <f t="shared" si="231"/>
        <v>538087.44999999914</v>
      </c>
      <c r="P851" s="141">
        <f t="shared" si="231"/>
        <v>1.3824319466948509E-10</v>
      </c>
      <c r="Q851" s="39">
        <f t="shared" si="231"/>
        <v>5222649.5399999935</v>
      </c>
      <c r="R851" s="39">
        <f t="shared" si="231"/>
        <v>6951165.8000000035</v>
      </c>
      <c r="S851" s="39">
        <f t="shared" si="231"/>
        <v>2158468.9800000004</v>
      </c>
      <c r="T851" s="39">
        <f t="shared" si="231"/>
        <v>3.092281986027956E-11</v>
      </c>
      <c r="U851" s="39">
        <f t="shared" si="231"/>
        <v>1.0368239600211382E-10</v>
      </c>
      <c r="V851" s="39">
        <f t="shared" si="231"/>
        <v>198539.52000000002</v>
      </c>
      <c r="W851" s="140">
        <f t="shared" si="231"/>
        <v>22966193.990000006</v>
      </c>
      <c r="X851" s="41">
        <f>W850+X848</f>
        <v>443512633.66840535</v>
      </c>
    </row>
    <row r="852" spans="1:24" ht="12.75" x14ac:dyDescent="0.2">
      <c r="A852" s="85"/>
      <c r="B852" s="44"/>
      <c r="C852" s="44"/>
      <c r="D852" s="44"/>
      <c r="E852" s="44"/>
      <c r="F852" s="44"/>
      <c r="G852" s="45"/>
      <c r="H852" s="44"/>
      <c r="I852" s="44"/>
      <c r="J852" s="44"/>
      <c r="K852" s="44"/>
      <c r="L852" s="44"/>
      <c r="M852" s="44"/>
      <c r="N852" s="44"/>
      <c r="O852" s="44"/>
      <c r="P852" s="44"/>
      <c r="Q852" s="45"/>
      <c r="R852" s="47"/>
      <c r="S852" s="47"/>
      <c r="T852" s="47"/>
      <c r="U852" s="47"/>
      <c r="V852" s="43"/>
      <c r="W852" s="86"/>
      <c r="X852" s="46"/>
    </row>
    <row r="853" spans="1:24" ht="12.75" x14ac:dyDescent="0.2">
      <c r="A853" s="82" t="s">
        <v>46</v>
      </c>
      <c r="B853" s="38">
        <v>0</v>
      </c>
      <c r="C853" s="38">
        <v>204629.98</v>
      </c>
      <c r="D853" s="38">
        <v>255488.76</v>
      </c>
      <c r="E853" s="38">
        <v>149923.73000000001</v>
      </c>
      <c r="F853" s="38">
        <v>101469.82</v>
      </c>
      <c r="G853" s="39">
        <f>SUM(B853:F853)</f>
        <v>711512.29</v>
      </c>
      <c r="H853" s="38">
        <v>0</v>
      </c>
      <c r="I853" s="38">
        <v>0</v>
      </c>
      <c r="J853" s="38">
        <v>58221.29</v>
      </c>
      <c r="K853" s="38">
        <v>52961.36</v>
      </c>
      <c r="L853" s="38">
        <v>32790.46</v>
      </c>
      <c r="M853" s="38">
        <v>26238.53</v>
      </c>
      <c r="N853" s="38">
        <v>62904.31</v>
      </c>
      <c r="O853" s="38">
        <v>71645.789999999994</v>
      </c>
      <c r="P853" s="38">
        <v>0</v>
      </c>
      <c r="Q853" s="39">
        <f>SUM(H853:P853)</f>
        <v>304761.74</v>
      </c>
      <c r="R853" s="39">
        <v>504303.25</v>
      </c>
      <c r="S853" s="39">
        <v>415818.64</v>
      </c>
      <c r="T853" s="39">
        <v>0</v>
      </c>
      <c r="U853" s="39">
        <v>0</v>
      </c>
      <c r="V853" s="39">
        <v>0</v>
      </c>
      <c r="W853" s="83">
        <f>Q853+G853+R853+S853+T853+U853+V853</f>
        <v>1936395.92</v>
      </c>
      <c r="X853" s="41"/>
    </row>
    <row r="854" spans="1:24" ht="12.75" x14ac:dyDescent="0.2">
      <c r="A854" s="82" t="s">
        <v>42</v>
      </c>
      <c r="B854" s="141">
        <f t="shared" ref="B854:W854" si="232">B851+B853-B805</f>
        <v>5719.400000000026</v>
      </c>
      <c r="C854" s="141">
        <f t="shared" si="232"/>
        <v>1440751.8499999996</v>
      </c>
      <c r="D854" s="141">
        <f t="shared" si="232"/>
        <v>3458785.9299999988</v>
      </c>
      <c r="E854" s="141">
        <f t="shared" si="232"/>
        <v>1724981.2200000004</v>
      </c>
      <c r="F854" s="141">
        <f t="shared" si="232"/>
        <v>1741386.9799999995</v>
      </c>
      <c r="G854" s="39">
        <f>G851+G853-G805</f>
        <v>8371625.3800000018</v>
      </c>
      <c r="H854" s="141">
        <f t="shared" si="232"/>
        <v>1076991.3900000008</v>
      </c>
      <c r="I854" s="141">
        <f t="shared" si="232"/>
        <v>506117.51000000094</v>
      </c>
      <c r="J854" s="141">
        <f t="shared" si="232"/>
        <v>473128.20000000042</v>
      </c>
      <c r="K854" s="141">
        <f t="shared" si="232"/>
        <v>447703.29</v>
      </c>
      <c r="L854" s="141">
        <f t="shared" si="232"/>
        <v>1063769.4500000007</v>
      </c>
      <c r="M854" s="141">
        <f t="shared" si="232"/>
        <v>329438.88000000041</v>
      </c>
      <c r="N854" s="141">
        <f t="shared" si="232"/>
        <v>532008.25</v>
      </c>
      <c r="O854" s="141">
        <f t="shared" si="232"/>
        <v>609733.23999999918</v>
      </c>
      <c r="P854" s="141">
        <f t="shared" si="232"/>
        <v>1.3824319466948509E-10</v>
      </c>
      <c r="Q854" s="39">
        <f t="shared" si="232"/>
        <v>5038890.2099999934</v>
      </c>
      <c r="R854" s="39">
        <f t="shared" si="232"/>
        <v>6915741.8300000038</v>
      </c>
      <c r="S854" s="39">
        <f t="shared" si="232"/>
        <v>2436666.0800000005</v>
      </c>
      <c r="T854" s="39">
        <f t="shared" si="232"/>
        <v>3.092281986027956E-11</v>
      </c>
      <c r="U854" s="39">
        <f t="shared" si="232"/>
        <v>1.0368239600211382E-10</v>
      </c>
      <c r="V854" s="39">
        <f t="shared" si="232"/>
        <v>198539.52000000002</v>
      </c>
      <c r="W854" s="140">
        <f t="shared" si="232"/>
        <v>22961463.020000003</v>
      </c>
      <c r="X854" s="41">
        <f>W853+X851</f>
        <v>445449029.58840537</v>
      </c>
    </row>
    <row r="855" spans="1:24" ht="12.75" x14ac:dyDescent="0.2">
      <c r="A855" s="85"/>
      <c r="B855" s="44"/>
      <c r="C855" s="44"/>
      <c r="D855" s="44"/>
      <c r="E855" s="44"/>
      <c r="F855" s="44"/>
      <c r="G855" s="45"/>
      <c r="H855" s="44"/>
      <c r="I855" s="44"/>
      <c r="J855" s="44"/>
      <c r="K855" s="44"/>
      <c r="L855" s="44"/>
      <c r="M855" s="44"/>
      <c r="N855" s="44"/>
      <c r="O855" s="44"/>
      <c r="P855" s="44"/>
      <c r="Q855" s="45"/>
      <c r="R855" s="47"/>
      <c r="S855" s="47"/>
      <c r="T855" s="47"/>
      <c r="U855" s="47"/>
      <c r="V855" s="43"/>
      <c r="W855" s="86"/>
      <c r="X855" s="46"/>
    </row>
    <row r="856" spans="1:24" ht="12.75" x14ac:dyDescent="0.2">
      <c r="A856" s="82" t="s">
        <v>47</v>
      </c>
      <c r="B856" s="38">
        <v>0</v>
      </c>
      <c r="C856" s="38">
        <v>195721.58</v>
      </c>
      <c r="D856" s="38">
        <v>313030.5</v>
      </c>
      <c r="E856" s="38">
        <v>349571.34</v>
      </c>
      <c r="F856" s="38">
        <v>172051.11</v>
      </c>
      <c r="G856" s="39">
        <f>SUM(B856:F856)</f>
        <v>1030374.5299999999</v>
      </c>
      <c r="H856" s="38">
        <v>24278.080000000002</v>
      </c>
      <c r="I856" s="38">
        <v>0</v>
      </c>
      <c r="J856" s="38">
        <v>103581.02</v>
      </c>
      <c r="K856" s="38">
        <v>101086.5</v>
      </c>
      <c r="L856" s="38">
        <v>91140.37</v>
      </c>
      <c r="M856" s="38">
        <v>12440.13</v>
      </c>
      <c r="N856" s="38">
        <v>74085.48</v>
      </c>
      <c r="O856" s="38">
        <v>165638.45000000001</v>
      </c>
      <c r="P856" s="38">
        <v>0</v>
      </c>
      <c r="Q856" s="39">
        <f>SUM(H856:P856)</f>
        <v>572250.03</v>
      </c>
      <c r="R856" s="39">
        <v>583419.76</v>
      </c>
      <c r="S856" s="39">
        <v>0</v>
      </c>
      <c r="T856" s="39">
        <v>0</v>
      </c>
      <c r="U856" s="39">
        <v>0</v>
      </c>
      <c r="V856" s="39">
        <v>0</v>
      </c>
      <c r="W856" s="83">
        <f>Q856+G856+R856+S856+T856+U856+V856</f>
        <v>2186044.3200000003</v>
      </c>
      <c r="X856" s="41"/>
    </row>
    <row r="857" spans="1:24" ht="12.75" x14ac:dyDescent="0.2">
      <c r="A857" s="82" t="s">
        <v>42</v>
      </c>
      <c r="B857" s="141">
        <f t="shared" ref="B857:W857" si="233">B854+B856-B808</f>
        <v>817.06000000002587</v>
      </c>
      <c r="C857" s="141">
        <f t="shared" si="233"/>
        <v>1636473.4299999997</v>
      </c>
      <c r="D857" s="141">
        <f t="shared" si="233"/>
        <v>3503264.6399999987</v>
      </c>
      <c r="E857" s="141">
        <f t="shared" si="233"/>
        <v>1701757.1700000004</v>
      </c>
      <c r="F857" s="141">
        <f t="shared" si="233"/>
        <v>1740779.8499999994</v>
      </c>
      <c r="G857" s="39">
        <f>G854+G856-G808</f>
        <v>8583092.1500000022</v>
      </c>
      <c r="H857" s="141">
        <f t="shared" si="233"/>
        <v>815544.33000000089</v>
      </c>
      <c r="I857" s="141">
        <f t="shared" si="233"/>
        <v>303335.79000000097</v>
      </c>
      <c r="J857" s="141">
        <f t="shared" si="233"/>
        <v>576709.22000000044</v>
      </c>
      <c r="K857" s="141">
        <f t="shared" si="233"/>
        <v>548789.79</v>
      </c>
      <c r="L857" s="141">
        <f t="shared" si="233"/>
        <v>1005552.4500000008</v>
      </c>
      <c r="M857" s="141">
        <f t="shared" si="233"/>
        <v>301847.5500000004</v>
      </c>
      <c r="N857" s="141">
        <f t="shared" si="233"/>
        <v>606093.73</v>
      </c>
      <c r="O857" s="141">
        <f t="shared" si="233"/>
        <v>775371.68999999925</v>
      </c>
      <c r="P857" s="141">
        <f t="shared" si="233"/>
        <v>1.3824319466948509E-10</v>
      </c>
      <c r="Q857" s="39">
        <f t="shared" si="233"/>
        <v>4933244.5499999933</v>
      </c>
      <c r="R857" s="39">
        <f t="shared" si="233"/>
        <v>7021174.0800000038</v>
      </c>
      <c r="S857" s="39">
        <f t="shared" si="233"/>
        <v>2384585.1600000006</v>
      </c>
      <c r="T857" s="39">
        <f t="shared" si="233"/>
        <v>3.092281986027956E-11</v>
      </c>
      <c r="U857" s="39">
        <f t="shared" si="233"/>
        <v>1.0368239600211382E-10</v>
      </c>
      <c r="V857" s="39">
        <f t="shared" si="233"/>
        <v>198539.52000000002</v>
      </c>
      <c r="W857" s="140">
        <f t="shared" si="233"/>
        <v>23120635.460000005</v>
      </c>
      <c r="X857" s="41">
        <f>W856+X854</f>
        <v>447635073.90840536</v>
      </c>
    </row>
    <row r="858" spans="1:24" ht="12.75" x14ac:dyDescent="0.2">
      <c r="A858" s="85"/>
      <c r="B858" s="43"/>
      <c r="C858" s="43"/>
      <c r="D858" s="43"/>
      <c r="E858" s="43"/>
      <c r="F858" s="43"/>
      <c r="G858" s="47"/>
      <c r="H858" s="43"/>
      <c r="I858" s="43"/>
      <c r="J858" s="43"/>
      <c r="K858" s="43"/>
      <c r="L858" s="43"/>
      <c r="M858" s="43"/>
      <c r="N858" s="43"/>
      <c r="O858" s="43"/>
      <c r="P858" s="43"/>
      <c r="Q858" s="47"/>
      <c r="R858" s="47"/>
      <c r="S858" s="47"/>
      <c r="T858" s="47"/>
      <c r="U858" s="47"/>
      <c r="V858" s="43"/>
      <c r="W858" s="87"/>
      <c r="X858" s="46"/>
    </row>
    <row r="859" spans="1:24" ht="12.75" x14ac:dyDescent="0.2">
      <c r="A859" s="82" t="s">
        <v>48</v>
      </c>
      <c r="B859" s="38">
        <v>0</v>
      </c>
      <c r="C859" s="38">
        <v>201507.61</v>
      </c>
      <c r="D859" s="38">
        <v>310788.15000000002</v>
      </c>
      <c r="E859" s="38">
        <v>259078.11</v>
      </c>
      <c r="F859" s="38">
        <v>167085.12</v>
      </c>
      <c r="G859" s="39">
        <f>SUM(B859:F859)</f>
        <v>938458.99</v>
      </c>
      <c r="H859" s="38">
        <v>86876.479999999996</v>
      </c>
      <c r="I859" s="38">
        <v>0</v>
      </c>
      <c r="J859" s="38">
        <v>84250.61</v>
      </c>
      <c r="K859" s="38">
        <v>85564.18</v>
      </c>
      <c r="L859" s="38">
        <v>139662.74</v>
      </c>
      <c r="M859" s="38">
        <v>44621.36</v>
      </c>
      <c r="N859" s="38">
        <v>77247.600000000006</v>
      </c>
      <c r="O859" s="38">
        <v>130889.38</v>
      </c>
      <c r="P859" s="38">
        <v>0</v>
      </c>
      <c r="Q859" s="39">
        <f>SUM(H859:P859)</f>
        <v>649112.35</v>
      </c>
      <c r="R859" s="39">
        <v>852503.19</v>
      </c>
      <c r="S859" s="39">
        <v>48645.5</v>
      </c>
      <c r="T859" s="39">
        <v>0</v>
      </c>
      <c r="U859" s="39">
        <v>0</v>
      </c>
      <c r="V859" s="39">
        <v>0</v>
      </c>
      <c r="W859" s="83">
        <f>Q859+G859+R859+S859+T859+U859+V859</f>
        <v>2488720.0299999998</v>
      </c>
      <c r="X859" s="41"/>
    </row>
    <row r="860" spans="1:24" ht="12.75" x14ac:dyDescent="0.2">
      <c r="A860" s="82" t="s">
        <v>42</v>
      </c>
      <c r="B860" s="141">
        <f t="shared" ref="B860:W860" si="234">B857+B859-B811</f>
        <v>817.06000000002587</v>
      </c>
      <c r="C860" s="141">
        <f t="shared" si="234"/>
        <v>1837981.0399999996</v>
      </c>
      <c r="D860" s="141">
        <f t="shared" si="234"/>
        <v>3579947.5399999986</v>
      </c>
      <c r="E860" s="141">
        <f t="shared" si="234"/>
        <v>1709005.3900000001</v>
      </c>
      <c r="F860" s="141">
        <f t="shared" si="234"/>
        <v>1724244.2799999993</v>
      </c>
      <c r="G860" s="39">
        <f>G857+G859-G811</f>
        <v>8851995.3100000024</v>
      </c>
      <c r="H860" s="141">
        <f t="shared" si="234"/>
        <v>596644.69000000088</v>
      </c>
      <c r="I860" s="141">
        <f t="shared" si="234"/>
        <v>90288.700000000972</v>
      </c>
      <c r="J860" s="141">
        <f t="shared" si="234"/>
        <v>660959.83000000042</v>
      </c>
      <c r="K860" s="141">
        <f t="shared" si="234"/>
        <v>634353.97</v>
      </c>
      <c r="L860" s="141">
        <f t="shared" si="234"/>
        <v>998630.29000000085</v>
      </c>
      <c r="M860" s="141">
        <f t="shared" si="234"/>
        <v>306749.25000000035</v>
      </c>
      <c r="N860" s="141">
        <f t="shared" si="234"/>
        <v>683341.33</v>
      </c>
      <c r="O860" s="141">
        <f t="shared" si="234"/>
        <v>886636.08999999927</v>
      </c>
      <c r="P860" s="141">
        <f t="shared" si="234"/>
        <v>1.3824319466948509E-10</v>
      </c>
      <c r="Q860" s="39">
        <f t="shared" si="234"/>
        <v>4857604.1499999929</v>
      </c>
      <c r="R860" s="39">
        <f t="shared" si="234"/>
        <v>6792059.4700000035</v>
      </c>
      <c r="S860" s="39">
        <f t="shared" si="234"/>
        <v>2189819.9400000004</v>
      </c>
      <c r="T860" s="39">
        <f t="shared" si="234"/>
        <v>3.092281986027956E-11</v>
      </c>
      <c r="U860" s="39">
        <f t="shared" si="234"/>
        <v>1.0368239600211382E-10</v>
      </c>
      <c r="V860" s="39">
        <f t="shared" si="234"/>
        <v>98386.99000000002</v>
      </c>
      <c r="W860" s="140">
        <f t="shared" si="234"/>
        <v>22789865.860000007</v>
      </c>
      <c r="X860" s="41">
        <f>W859+X857</f>
        <v>450123793.93840533</v>
      </c>
    </row>
    <row r="861" spans="1:24" ht="12.75" x14ac:dyDescent="0.2">
      <c r="A861" s="85"/>
      <c r="B861" s="44"/>
      <c r="C861" s="44"/>
      <c r="D861" s="44"/>
      <c r="E861" s="44"/>
      <c r="F861" s="44"/>
      <c r="G861" s="45"/>
      <c r="H861" s="44"/>
      <c r="I861" s="44"/>
      <c r="J861" s="44"/>
      <c r="K861" s="44"/>
      <c r="L861" s="44"/>
      <c r="M861" s="44"/>
      <c r="N861" s="44"/>
      <c r="O861" s="44"/>
      <c r="P861" s="44"/>
      <c r="Q861" s="45"/>
      <c r="R861" s="47"/>
      <c r="S861" s="47"/>
      <c r="T861" s="47"/>
      <c r="U861" s="47"/>
      <c r="V861" s="43"/>
      <c r="W861" s="86"/>
      <c r="X861" s="46"/>
    </row>
    <row r="862" spans="1:24" ht="12.75" x14ac:dyDescent="0.2">
      <c r="A862" s="82" t="s">
        <v>49</v>
      </c>
      <c r="B862" s="38">
        <v>0</v>
      </c>
      <c r="C862" s="38">
        <v>195294.13</v>
      </c>
      <c r="D862" s="38">
        <v>313230.52</v>
      </c>
      <c r="E862" s="38">
        <v>259548.26</v>
      </c>
      <c r="F862" s="38">
        <v>171885.77</v>
      </c>
      <c r="G862" s="39">
        <f>SUM(B862:F862)</f>
        <v>939958.68</v>
      </c>
      <c r="H862" s="38">
        <v>92405.92</v>
      </c>
      <c r="I862" s="38">
        <v>0</v>
      </c>
      <c r="J862" s="38">
        <v>91461.23</v>
      </c>
      <c r="K862" s="38">
        <v>91625.09</v>
      </c>
      <c r="L862" s="38">
        <v>77900.37</v>
      </c>
      <c r="M862" s="38">
        <v>47592.7</v>
      </c>
      <c r="N862" s="38">
        <v>81234.78</v>
      </c>
      <c r="O862" s="38">
        <v>103677.17</v>
      </c>
      <c r="P862" s="38">
        <v>0</v>
      </c>
      <c r="Q862" s="39">
        <f>SUM(H862:P862)</f>
        <v>585897.26</v>
      </c>
      <c r="R862" s="39">
        <v>623994.13</v>
      </c>
      <c r="S862" s="39">
        <v>190745.64</v>
      </c>
      <c r="T862" s="39">
        <v>0</v>
      </c>
      <c r="U862" s="39">
        <v>0</v>
      </c>
      <c r="V862" s="39">
        <v>0</v>
      </c>
      <c r="W862" s="83">
        <f>Q862+G862+R862+S862+T862+U862+V862</f>
        <v>2340595.71</v>
      </c>
      <c r="X862" s="41"/>
    </row>
    <row r="863" spans="1:24" ht="12.75" x14ac:dyDescent="0.2">
      <c r="A863" s="82" t="s">
        <v>42</v>
      </c>
      <c r="B863" s="141">
        <f t="shared" ref="B863:W863" si="235">B860+B862-B814</f>
        <v>817.06000000002587</v>
      </c>
      <c r="C863" s="141">
        <f>C860+C862-C814</f>
        <v>1916077.6499999994</v>
      </c>
      <c r="D863" s="141">
        <f t="shared" si="235"/>
        <v>3602759.7299999986</v>
      </c>
      <c r="E863" s="141">
        <f t="shared" si="235"/>
        <v>1706994.8</v>
      </c>
      <c r="F863" s="141">
        <f t="shared" si="235"/>
        <v>1745245.2899999993</v>
      </c>
      <c r="G863" s="39">
        <f>G860+G862-G814</f>
        <v>8971894.5300000012</v>
      </c>
      <c r="H863" s="141">
        <f t="shared" si="235"/>
        <v>513938.04000000091</v>
      </c>
      <c r="I863" s="141">
        <f t="shared" si="235"/>
        <v>9.7497832030057907E-10</v>
      </c>
      <c r="J863" s="141">
        <f t="shared" si="235"/>
        <v>683015.60000000044</v>
      </c>
      <c r="K863" s="141">
        <f t="shared" si="235"/>
        <v>664653.57999999996</v>
      </c>
      <c r="L863" s="141">
        <f t="shared" si="235"/>
        <v>905184.39000000083</v>
      </c>
      <c r="M863" s="141">
        <f t="shared" si="235"/>
        <v>311404.59000000037</v>
      </c>
      <c r="N863" s="141">
        <f t="shared" si="235"/>
        <v>735199.39</v>
      </c>
      <c r="O863" s="141">
        <f t="shared" si="235"/>
        <v>990313.25999999931</v>
      </c>
      <c r="P863" s="141">
        <f t="shared" si="235"/>
        <v>1.3824319466948509E-10</v>
      </c>
      <c r="Q863" s="39">
        <f t="shared" si="235"/>
        <v>4803708.8499999931</v>
      </c>
      <c r="R863" s="39">
        <f t="shared" si="235"/>
        <v>6641839.1800000034</v>
      </c>
      <c r="S863" s="39">
        <f t="shared" si="235"/>
        <v>2380565.5800000005</v>
      </c>
      <c r="T863" s="39">
        <f t="shared" si="235"/>
        <v>3.092281986027956E-11</v>
      </c>
      <c r="U863" s="39">
        <f t="shared" si="235"/>
        <v>1.0368239600211382E-10</v>
      </c>
      <c r="V863" s="39">
        <f t="shared" si="235"/>
        <v>98386.99000000002</v>
      </c>
      <c r="W863" s="140">
        <f t="shared" si="235"/>
        <v>22896395.130000006</v>
      </c>
      <c r="X863" s="41">
        <f>W862+X860</f>
        <v>452464389.64840531</v>
      </c>
    </row>
    <row r="864" spans="1:24" ht="12.75" x14ac:dyDescent="0.2">
      <c r="A864" s="85"/>
      <c r="B864" s="43"/>
      <c r="C864" s="43"/>
      <c r="D864" s="43"/>
      <c r="E864" s="43"/>
      <c r="F864" s="43"/>
      <c r="G864" s="47"/>
      <c r="H864" s="43"/>
      <c r="I864" s="43"/>
      <c r="J864" s="43"/>
      <c r="K864" s="43"/>
      <c r="L864" s="43"/>
      <c r="M864" s="43"/>
      <c r="N864" s="43"/>
      <c r="O864" s="43"/>
      <c r="P864" s="43"/>
      <c r="Q864" s="47"/>
      <c r="R864" s="47"/>
      <c r="S864" s="47"/>
      <c r="T864" s="47"/>
      <c r="U864" s="47"/>
      <c r="V864" s="43"/>
      <c r="W864" s="87"/>
      <c r="X864" s="46"/>
    </row>
    <row r="865" spans="1:25" ht="12.75" x14ac:dyDescent="0.2">
      <c r="A865" s="82" t="s">
        <v>50</v>
      </c>
      <c r="B865" s="38">
        <v>0</v>
      </c>
      <c r="C865" s="38">
        <v>179008.36</v>
      </c>
      <c r="D865" s="38">
        <v>292980.24</v>
      </c>
      <c r="E865" s="38">
        <v>195164.3</v>
      </c>
      <c r="F865" s="38">
        <v>141154.22</v>
      </c>
      <c r="G865" s="39">
        <f>SUM(B865:F865)</f>
        <v>808307.11999999988</v>
      </c>
      <c r="H865" s="38">
        <v>95258.47</v>
      </c>
      <c r="I865" s="38">
        <v>0</v>
      </c>
      <c r="J865" s="38">
        <v>93892.58</v>
      </c>
      <c r="K865" s="38">
        <v>96481.72</v>
      </c>
      <c r="L865" s="38">
        <v>0</v>
      </c>
      <c r="M865" s="38">
        <v>48057.74</v>
      </c>
      <c r="N865" s="38">
        <v>73783.58</v>
      </c>
      <c r="O865" s="38">
        <v>126825.04</v>
      </c>
      <c r="P865" s="38">
        <v>0</v>
      </c>
      <c r="Q865" s="39">
        <f>SUM(H865:P865)</f>
        <v>534299.13</v>
      </c>
      <c r="R865" s="39">
        <v>474811.82</v>
      </c>
      <c r="S865" s="39">
        <v>251647.06</v>
      </c>
      <c r="T865" s="39">
        <v>0</v>
      </c>
      <c r="U865" s="39">
        <v>0</v>
      </c>
      <c r="V865" s="39">
        <v>0</v>
      </c>
      <c r="W865" s="83">
        <f>Q865+G865+R865+S865+T865+U865+V865</f>
        <v>2069065.1300000001</v>
      </c>
      <c r="X865" s="41"/>
    </row>
    <row r="866" spans="1:25" ht="12.75" x14ac:dyDescent="0.2">
      <c r="A866" s="82" t="s">
        <v>42</v>
      </c>
      <c r="B866" s="141">
        <f t="shared" ref="B866:W866" si="236">B863+B865-B817</f>
        <v>817.06000000002587</v>
      </c>
      <c r="C866" s="141">
        <f t="shared" si="236"/>
        <v>1911125.9899999993</v>
      </c>
      <c r="D866" s="141">
        <f t="shared" si="236"/>
        <v>3571122.3699999987</v>
      </c>
      <c r="E866" s="141">
        <f t="shared" si="236"/>
        <v>1657948.9200000002</v>
      </c>
      <c r="F866" s="141">
        <f t="shared" si="236"/>
        <v>1741203.9199999992</v>
      </c>
      <c r="G866" s="39">
        <f>G863+G865-G817</f>
        <v>8882218.2599999998</v>
      </c>
      <c r="H866" s="141">
        <f t="shared" si="236"/>
        <v>535123.9700000009</v>
      </c>
      <c r="I866" s="141">
        <f t="shared" si="236"/>
        <v>9.7497832030057907E-10</v>
      </c>
      <c r="J866" s="141">
        <f t="shared" si="236"/>
        <v>686082.03000000038</v>
      </c>
      <c r="K866" s="141">
        <f t="shared" si="236"/>
        <v>673886.44</v>
      </c>
      <c r="L866" s="141">
        <f t="shared" si="236"/>
        <v>743181.22000000079</v>
      </c>
      <c r="M866" s="141">
        <f t="shared" si="236"/>
        <v>321769.04000000039</v>
      </c>
      <c r="N866" s="141">
        <f t="shared" si="236"/>
        <v>714170.09</v>
      </c>
      <c r="O866" s="141">
        <f t="shared" si="236"/>
        <v>1025204.3699999994</v>
      </c>
      <c r="P866" s="141">
        <f t="shared" si="236"/>
        <v>1.3824319466948509E-10</v>
      </c>
      <c r="Q866" s="39">
        <f t="shared" si="236"/>
        <v>4699417.1599999927</v>
      </c>
      <c r="R866" s="39">
        <f t="shared" si="236"/>
        <v>6565138.3600000041</v>
      </c>
      <c r="S866" s="39">
        <f t="shared" si="236"/>
        <v>2398900.0000000005</v>
      </c>
      <c r="T866" s="39">
        <f t="shared" si="236"/>
        <v>3.092281986027956E-11</v>
      </c>
      <c r="U866" s="39">
        <f t="shared" si="236"/>
        <v>1.0368239600211382E-10</v>
      </c>
      <c r="V866" s="39">
        <f t="shared" si="236"/>
        <v>98386.99000000002</v>
      </c>
      <c r="W866" s="140">
        <f t="shared" si="236"/>
        <v>22644060.770000003</v>
      </c>
      <c r="X866" s="41">
        <f>W865+X863</f>
        <v>454533454.77840531</v>
      </c>
    </row>
    <row r="867" spans="1:25" ht="12.75" x14ac:dyDescent="0.2">
      <c r="A867" s="85"/>
      <c r="B867" s="43"/>
      <c r="C867" s="43"/>
      <c r="D867" s="43"/>
      <c r="E867" s="43"/>
      <c r="F867" s="43"/>
      <c r="G867" s="47"/>
      <c r="H867" s="43"/>
      <c r="I867" s="43"/>
      <c r="J867" s="43"/>
      <c r="K867" s="43"/>
      <c r="L867" s="43"/>
      <c r="M867" s="43"/>
      <c r="N867" s="43"/>
      <c r="O867" s="43"/>
      <c r="P867" s="43"/>
      <c r="Q867" s="47"/>
      <c r="R867" s="47"/>
      <c r="S867" s="47"/>
      <c r="T867" s="47"/>
      <c r="U867" s="47"/>
      <c r="V867" s="43"/>
      <c r="W867" s="87"/>
      <c r="X867" s="46"/>
    </row>
    <row r="868" spans="1:25" ht="12.75" x14ac:dyDescent="0.2">
      <c r="A868" s="82" t="s">
        <v>51</v>
      </c>
      <c r="B868" s="38">
        <v>0</v>
      </c>
      <c r="C868" s="38">
        <v>133076.31</v>
      </c>
      <c r="D868" s="38">
        <v>261269.98</v>
      </c>
      <c r="E868" s="38">
        <v>51265.94</v>
      </c>
      <c r="F868" s="38">
        <v>157986.76999999999</v>
      </c>
      <c r="G868" s="39">
        <f>SUM(B868:F868)</f>
        <v>603599</v>
      </c>
      <c r="H868" s="38">
        <v>861.42</v>
      </c>
      <c r="I868" s="38">
        <v>0</v>
      </c>
      <c r="J868" s="38">
        <v>65408.36</v>
      </c>
      <c r="K868" s="38">
        <v>61559.88</v>
      </c>
      <c r="L868" s="38">
        <v>0</v>
      </c>
      <c r="M868" s="38">
        <v>29081.72</v>
      </c>
      <c r="N868" s="38">
        <v>53074.42</v>
      </c>
      <c r="O868" s="38">
        <v>20341.509999999998</v>
      </c>
      <c r="P868" s="38">
        <v>0</v>
      </c>
      <c r="Q868" s="39">
        <f>SUM(H868:P868)</f>
        <v>230327.31</v>
      </c>
      <c r="R868" s="39">
        <v>236252.79999999999</v>
      </c>
      <c r="S868" s="39">
        <v>213439.56</v>
      </c>
      <c r="T868" s="39">
        <v>0</v>
      </c>
      <c r="U868" s="39">
        <v>0</v>
      </c>
      <c r="V868" s="39">
        <v>0</v>
      </c>
      <c r="W868" s="83">
        <f>Q868+G868+R868+S868+T868+U868+V868</f>
        <v>1283618.6700000002</v>
      </c>
      <c r="X868" s="41"/>
    </row>
    <row r="869" spans="1:25" ht="12.75" x14ac:dyDescent="0.2">
      <c r="A869" s="82" t="s">
        <v>42</v>
      </c>
      <c r="B869" s="141">
        <f t="shared" ref="B869:W869" si="237">B866+B868-B820</f>
        <v>817.06000000002587</v>
      </c>
      <c r="C869" s="141">
        <f t="shared" si="237"/>
        <v>1866704.7999999993</v>
      </c>
      <c r="D869" s="141">
        <f t="shared" si="237"/>
        <v>3500976.0499999989</v>
      </c>
      <c r="E869" s="141">
        <f t="shared" si="237"/>
        <v>1492800.1700000002</v>
      </c>
      <c r="F869" s="141">
        <f t="shared" si="237"/>
        <v>1754157.4199999992</v>
      </c>
      <c r="G869" s="39">
        <f>G866+G868-G820</f>
        <v>8615455.5</v>
      </c>
      <c r="H869" s="141">
        <f t="shared" si="237"/>
        <v>481100.65000000095</v>
      </c>
      <c r="I869" s="141">
        <f t="shared" si="237"/>
        <v>9.7497832030057907E-10</v>
      </c>
      <c r="J869" s="141">
        <f t="shared" si="237"/>
        <v>689940.70000000042</v>
      </c>
      <c r="K869" s="141">
        <f t="shared" si="237"/>
        <v>674655.17999999993</v>
      </c>
      <c r="L869" s="141">
        <f t="shared" si="237"/>
        <v>668136.29000000074</v>
      </c>
      <c r="M869" s="141">
        <f t="shared" si="237"/>
        <v>330685.48000000033</v>
      </c>
      <c r="N869" s="141">
        <f t="shared" si="237"/>
        <v>698893.77</v>
      </c>
      <c r="O869" s="141">
        <f t="shared" si="237"/>
        <v>995606.87999999942</v>
      </c>
      <c r="P869" s="141">
        <f t="shared" si="237"/>
        <v>1.3824319466948509E-10</v>
      </c>
      <c r="Q869" s="39">
        <f t="shared" si="237"/>
        <v>4539018.9499999918</v>
      </c>
      <c r="R869" s="39">
        <f t="shared" si="237"/>
        <v>6248282.5500000035</v>
      </c>
      <c r="S869" s="39">
        <f t="shared" si="237"/>
        <v>2062727.2000000007</v>
      </c>
      <c r="T869" s="39">
        <f t="shared" si="237"/>
        <v>3.092281986027956E-11</v>
      </c>
      <c r="U869" s="39">
        <f t="shared" si="237"/>
        <v>1.0368239600211382E-10</v>
      </c>
      <c r="V869" s="39">
        <f t="shared" si="237"/>
        <v>98386.99000000002</v>
      </c>
      <c r="W869" s="140">
        <f t="shared" si="237"/>
        <v>21563871.190000005</v>
      </c>
      <c r="X869" s="41">
        <f>W868+X866</f>
        <v>455817073.44840533</v>
      </c>
    </row>
    <row r="870" spans="1:25" ht="12.75" x14ac:dyDescent="0.2">
      <c r="A870" s="85"/>
      <c r="B870" s="44"/>
      <c r="C870" s="44"/>
      <c r="D870" s="44"/>
      <c r="E870" s="44"/>
      <c r="F870" s="44"/>
      <c r="G870" s="45"/>
      <c r="H870" s="44"/>
      <c r="I870" s="44"/>
      <c r="J870" s="44"/>
      <c r="K870" s="44"/>
      <c r="L870" s="44"/>
      <c r="M870" s="44"/>
      <c r="N870" s="44"/>
      <c r="O870" s="44"/>
      <c r="P870" s="44"/>
      <c r="Q870" s="45"/>
      <c r="R870" s="47"/>
      <c r="S870" s="47"/>
      <c r="T870" s="47"/>
      <c r="U870" s="47"/>
      <c r="V870" s="43"/>
      <c r="W870" s="86"/>
      <c r="X870" s="46"/>
    </row>
    <row r="871" spans="1:25" ht="12.75" x14ac:dyDescent="0.2">
      <c r="A871" s="82" t="s">
        <v>52</v>
      </c>
      <c r="B871" s="38">
        <v>0</v>
      </c>
      <c r="C871" s="38">
        <v>109375.41</v>
      </c>
      <c r="D871" s="38">
        <v>245191.45</v>
      </c>
      <c r="E871" s="38">
        <v>0</v>
      </c>
      <c r="F871" s="38">
        <v>177149.85</v>
      </c>
      <c r="G871" s="39">
        <f>SUM(B871:F871)</f>
        <v>531716.71</v>
      </c>
      <c r="H871" s="38">
        <v>32004.32</v>
      </c>
      <c r="I871" s="38">
        <v>0</v>
      </c>
      <c r="J871" s="38">
        <v>132371.01</v>
      </c>
      <c r="K871" s="38">
        <v>126278.26</v>
      </c>
      <c r="L871" s="38">
        <v>0</v>
      </c>
      <c r="M871" s="38">
        <v>326.69</v>
      </c>
      <c r="N871" s="38">
        <v>133371.66</v>
      </c>
      <c r="O871" s="38">
        <v>56920.66</v>
      </c>
      <c r="P871" s="38">
        <v>0</v>
      </c>
      <c r="Q871" s="39">
        <f>SUM(H871:P871)</f>
        <v>481272.60000000009</v>
      </c>
      <c r="R871" s="39">
        <v>0</v>
      </c>
      <c r="S871" s="39">
        <v>233909.55</v>
      </c>
      <c r="T871" s="39">
        <v>0</v>
      </c>
      <c r="U871" s="39">
        <v>0</v>
      </c>
      <c r="V871" s="39">
        <v>0</v>
      </c>
      <c r="W871" s="83">
        <f>Q871+G871+R871+S871+T871+U871+V871</f>
        <v>1246898.8600000001</v>
      </c>
      <c r="X871" s="41"/>
    </row>
    <row r="872" spans="1:25" ht="12.75" x14ac:dyDescent="0.2">
      <c r="A872" s="82" t="s">
        <v>42</v>
      </c>
      <c r="B872" s="141">
        <f t="shared" ref="B872:W872" si="238">B869+B871-B823</f>
        <v>2.5920599000528455E-11</v>
      </c>
      <c r="C872" s="141">
        <f t="shared" si="238"/>
        <v>1811793.8099999994</v>
      </c>
      <c r="D872" s="141">
        <f t="shared" si="238"/>
        <v>3447824.7499999991</v>
      </c>
      <c r="E872" s="141">
        <f t="shared" si="238"/>
        <v>1345385.4500000002</v>
      </c>
      <c r="F872" s="141">
        <f t="shared" si="238"/>
        <v>1771226.5199999993</v>
      </c>
      <c r="G872" s="39">
        <f>G869+G871-G823</f>
        <v>8376230.5300000012</v>
      </c>
      <c r="H872" s="141">
        <f t="shared" si="238"/>
        <v>464831.13000000094</v>
      </c>
      <c r="I872" s="141">
        <f t="shared" si="238"/>
        <v>9.7497832030057907E-10</v>
      </c>
      <c r="J872" s="141">
        <f t="shared" si="238"/>
        <v>757205.95000000042</v>
      </c>
      <c r="K872" s="141">
        <f t="shared" si="238"/>
        <v>738810.46</v>
      </c>
      <c r="L872" s="141">
        <f t="shared" si="238"/>
        <v>594204.24000000069</v>
      </c>
      <c r="M872" s="141">
        <f t="shared" si="238"/>
        <v>305138.88000000035</v>
      </c>
      <c r="N872" s="141">
        <f t="shared" si="238"/>
        <v>769183.78</v>
      </c>
      <c r="O872" s="141">
        <f t="shared" si="238"/>
        <v>975711.3599999994</v>
      </c>
      <c r="P872" s="141">
        <f t="shared" si="238"/>
        <v>1.3824319466948509E-10</v>
      </c>
      <c r="Q872" s="39">
        <f t="shared" si="238"/>
        <v>4605085.7999999914</v>
      </c>
      <c r="R872" s="39">
        <f t="shared" si="238"/>
        <v>5564905.8300000038</v>
      </c>
      <c r="S872" s="39">
        <f t="shared" si="238"/>
        <v>1839010.6800000004</v>
      </c>
      <c r="T872" s="39">
        <f t="shared" si="238"/>
        <v>3.092281986027956E-11</v>
      </c>
      <c r="U872" s="39">
        <f t="shared" si="238"/>
        <v>1.0368239600211382E-10</v>
      </c>
      <c r="V872" s="39">
        <f t="shared" si="238"/>
        <v>98386.99000000002</v>
      </c>
      <c r="W872" s="140">
        <f t="shared" si="238"/>
        <v>20483619.830000006</v>
      </c>
      <c r="X872" s="41">
        <f>W871+X869</f>
        <v>457063972.30840534</v>
      </c>
    </row>
    <row r="873" spans="1:25" ht="12.75" x14ac:dyDescent="0.2">
      <c r="A873" s="85"/>
      <c r="B873" s="43"/>
      <c r="C873" s="43"/>
      <c r="D873" s="43"/>
      <c r="E873" s="43"/>
      <c r="F873" s="43"/>
      <c r="G873" s="47"/>
      <c r="H873" s="43"/>
      <c r="I873" s="43"/>
      <c r="J873" s="43"/>
      <c r="K873" s="43"/>
      <c r="L873" s="43"/>
      <c r="M873" s="43"/>
      <c r="N873" s="43"/>
      <c r="O873" s="43"/>
      <c r="P873" s="43"/>
      <c r="Q873" s="47"/>
      <c r="R873" s="47"/>
      <c r="S873" s="47"/>
      <c r="T873" s="47"/>
      <c r="U873" s="47"/>
      <c r="V873" s="43"/>
      <c r="W873" s="87"/>
      <c r="X873" s="46"/>
    </row>
    <row r="874" spans="1:25" ht="12.75" x14ac:dyDescent="0.2">
      <c r="A874" s="82" t="s">
        <v>53</v>
      </c>
      <c r="B874" s="84">
        <v>545.66</v>
      </c>
      <c r="C874" s="84">
        <v>99007.93</v>
      </c>
      <c r="D874" s="84">
        <v>256735.77</v>
      </c>
      <c r="E874" s="84">
        <f>E871*0.8</f>
        <v>0</v>
      </c>
      <c r="F874" s="84">
        <v>72868.460000000006</v>
      </c>
      <c r="G874" s="255">
        <f>SUM(B874:F874)</f>
        <v>429157.82</v>
      </c>
      <c r="H874" s="84">
        <v>0</v>
      </c>
      <c r="I874" s="84">
        <f>I871*0.8</f>
        <v>0</v>
      </c>
      <c r="J874" s="84">
        <v>122942.77</v>
      </c>
      <c r="K874" s="84">
        <v>119548.21</v>
      </c>
      <c r="L874" s="84">
        <f>L871*0.8</f>
        <v>0</v>
      </c>
      <c r="M874" s="84">
        <v>0</v>
      </c>
      <c r="N874" s="84">
        <v>111470.75</v>
      </c>
      <c r="O874" s="84">
        <v>245290.72</v>
      </c>
      <c r="P874" s="84">
        <f>P871*0.8</f>
        <v>0</v>
      </c>
      <c r="Q874" s="255">
        <f>SUM(H874:P874)</f>
        <v>599252.44999999995</v>
      </c>
      <c r="R874" s="255">
        <v>0</v>
      </c>
      <c r="S874" s="255">
        <v>69097.5</v>
      </c>
      <c r="T874" s="255">
        <v>0</v>
      </c>
      <c r="U874" s="255">
        <v>0</v>
      </c>
      <c r="V874" s="255">
        <v>99003.49</v>
      </c>
      <c r="W874" s="256">
        <f>Q874+G874+R874+S874+T874+U874+V874</f>
        <v>1196511.26</v>
      </c>
      <c r="X874" s="41"/>
      <c r="Y874" s="1" t="s">
        <v>199</v>
      </c>
    </row>
    <row r="875" spans="1:25" ht="13.5" thickBot="1" x14ac:dyDescent="0.25">
      <c r="A875" s="88" t="s">
        <v>42</v>
      </c>
      <c r="B875" s="143">
        <f t="shared" ref="B875:T875" si="239">B872+B874-B826</f>
        <v>545.66000000002589</v>
      </c>
      <c r="C875" s="143">
        <f t="shared" si="239"/>
        <v>1863541.0699999994</v>
      </c>
      <c r="D875" s="143">
        <f t="shared" si="239"/>
        <v>3416252.2799999993</v>
      </c>
      <c r="E875" s="143">
        <f t="shared" si="239"/>
        <v>1345385.4500000002</v>
      </c>
      <c r="F875" s="143">
        <f t="shared" si="239"/>
        <v>1717225.4599999993</v>
      </c>
      <c r="G875" s="50">
        <f t="shared" si="239"/>
        <v>8342949.9200000018</v>
      </c>
      <c r="H875" s="143">
        <f t="shared" si="239"/>
        <v>418433.39000000095</v>
      </c>
      <c r="I875" s="143">
        <f t="shared" si="239"/>
        <v>9.7497832030057907E-10</v>
      </c>
      <c r="J875" s="143">
        <f t="shared" si="239"/>
        <v>876452.82000000041</v>
      </c>
      <c r="K875" s="143">
        <f t="shared" si="239"/>
        <v>854857.73</v>
      </c>
      <c r="L875" s="198">
        <f t="shared" si="239"/>
        <v>587216.73000000068</v>
      </c>
      <c r="M875" s="143">
        <f t="shared" si="239"/>
        <v>282143.72000000038</v>
      </c>
      <c r="N875" s="143">
        <f t="shared" si="239"/>
        <v>860658.57000000007</v>
      </c>
      <c r="O875" s="143">
        <f t="shared" si="239"/>
        <v>1123724.3399999994</v>
      </c>
      <c r="P875" s="143">
        <f t="shared" si="239"/>
        <v>1.3824319466948509E-10</v>
      </c>
      <c r="Q875" s="50">
        <f t="shared" si="239"/>
        <v>5003487.2999999914</v>
      </c>
      <c r="R875" s="50">
        <f t="shared" si="239"/>
        <v>4986892.9700000035</v>
      </c>
      <c r="S875" s="50">
        <f t="shared" si="239"/>
        <v>1781465.7300000004</v>
      </c>
      <c r="T875" s="50">
        <f t="shared" si="239"/>
        <v>3.092281986027956E-11</v>
      </c>
      <c r="U875" s="50">
        <f>U872+U874</f>
        <v>1.0368239600211382E-10</v>
      </c>
      <c r="V875" s="50">
        <f>V872+V874</f>
        <v>197390.48000000004</v>
      </c>
      <c r="W875" s="144">
        <f>W872+W874-W826</f>
        <v>20312186.400000006</v>
      </c>
      <c r="X875" s="51">
        <f>W874+X872</f>
        <v>458260483.56840533</v>
      </c>
    </row>
    <row r="876" spans="1:25" ht="12.75" x14ac:dyDescent="0.2">
      <c r="A876" s="92"/>
      <c r="B876" s="52" t="s">
        <v>131</v>
      </c>
      <c r="C876" s="90"/>
      <c r="D876" s="90"/>
      <c r="E876" s="90"/>
      <c r="F876" s="90"/>
      <c r="G876" s="90"/>
      <c r="I876" s="90"/>
      <c r="J876" s="90"/>
      <c r="K876" s="90"/>
      <c r="L876" s="90"/>
      <c r="M876" s="90"/>
      <c r="N876" s="90"/>
      <c r="O876" s="171"/>
      <c r="P876" s="90"/>
      <c r="Q876" s="52" t="s">
        <v>202</v>
      </c>
      <c r="S876" s="52"/>
      <c r="T876" s="52"/>
      <c r="U876" s="52"/>
      <c r="V876" s="52"/>
      <c r="W876" s="90"/>
      <c r="X876" s="91"/>
    </row>
    <row r="877" spans="1:25" ht="12.75" x14ac:dyDescent="0.2">
      <c r="P877" t="s">
        <v>122</v>
      </c>
      <c r="X877" s="9"/>
    </row>
    <row r="878" spans="1:25" x14ac:dyDescent="0.2">
      <c r="B878" s="257"/>
      <c r="C878" s="257"/>
      <c r="D878" s="257"/>
      <c r="E878" s="257"/>
      <c r="F878" s="257"/>
      <c r="G878" s="257"/>
      <c r="H878" s="257"/>
      <c r="I878" s="257"/>
      <c r="J878" s="257"/>
      <c r="K878" s="257"/>
      <c r="L878" s="257"/>
      <c r="M878" s="257"/>
      <c r="N878" s="257"/>
      <c r="O878" s="257"/>
      <c r="P878" s="257"/>
      <c r="Q878" s="257"/>
      <c r="R878" s="257"/>
      <c r="S878" s="257"/>
      <c r="T878" s="257"/>
      <c r="U878" s="257"/>
      <c r="V878" s="257"/>
      <c r="W878" s="257"/>
    </row>
    <row r="880" spans="1:25" ht="27" x14ac:dyDescent="0.35">
      <c r="A880" s="133" t="s">
        <v>200</v>
      </c>
      <c r="B880" s="54"/>
      <c r="C880" s="122"/>
      <c r="D880" s="58"/>
      <c r="E880" s="127"/>
      <c r="F880" s="128"/>
      <c r="G880" s="127"/>
      <c r="H880" s="129"/>
      <c r="I880" s="130"/>
      <c r="J880" s="130"/>
      <c r="K880" s="130"/>
      <c r="L880" s="130"/>
      <c r="M880" s="130"/>
      <c r="N880" s="130"/>
      <c r="O880" s="130"/>
      <c r="P880" s="130"/>
      <c r="Q880" s="130"/>
      <c r="R880" s="128"/>
      <c r="S880" s="128"/>
      <c r="T880" s="128"/>
      <c r="U880" s="128"/>
      <c r="V880" s="128"/>
      <c r="W880" s="130"/>
      <c r="X880" s="131"/>
    </row>
    <row r="881" spans="1:24" ht="15.75" x14ac:dyDescent="0.25">
      <c r="A881" s="136"/>
      <c r="B881" s="170"/>
      <c r="C881" s="54"/>
      <c r="D881" s="53"/>
      <c r="E881" s="53"/>
      <c r="F881" s="132"/>
      <c r="H881" s="55"/>
      <c r="I881" s="55"/>
      <c r="J881" s="54"/>
      <c r="K881" s="56"/>
      <c r="L881" s="57"/>
      <c r="M881" s="54"/>
      <c r="N881" s="54" t="s">
        <v>60</v>
      </c>
      <c r="O881" s="54"/>
      <c r="P881" s="54"/>
      <c r="Q881" s="57"/>
      <c r="R881" s="58"/>
      <c r="S881" s="58"/>
      <c r="T881" s="58"/>
      <c r="U881" s="58"/>
      <c r="V881" s="58"/>
      <c r="W881" s="54"/>
      <c r="X881" s="54"/>
    </row>
    <row r="882" spans="1:24" ht="27" x14ac:dyDescent="0.35">
      <c r="A882" s="134" t="s">
        <v>6</v>
      </c>
      <c r="B882" s="122"/>
      <c r="C882" s="122"/>
      <c r="D882" s="122"/>
      <c r="E882" s="122"/>
      <c r="F882" s="122"/>
      <c r="H882" s="122"/>
      <c r="I882" s="122"/>
      <c r="J882" s="122"/>
      <c r="K882" s="122"/>
      <c r="L882" s="122"/>
      <c r="M882" s="122"/>
      <c r="N882" s="122"/>
      <c r="O882" s="122"/>
      <c r="P882" s="122"/>
      <c r="Q882" s="122"/>
      <c r="R882" s="122"/>
      <c r="S882" s="122"/>
      <c r="T882" s="122"/>
      <c r="U882" s="122"/>
      <c r="V882" s="122"/>
      <c r="W882" s="142"/>
      <c r="X882" s="122"/>
    </row>
    <row r="883" spans="1:24" ht="12" thickBot="1" x14ac:dyDescent="0.25">
      <c r="B883" s="2"/>
      <c r="C883" s="2"/>
      <c r="D883" s="2"/>
      <c r="E883" s="2"/>
      <c r="F883" s="59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 t="s">
        <v>60</v>
      </c>
      <c r="W883" s="2"/>
      <c r="X883" s="57"/>
    </row>
    <row r="884" spans="1:24" x14ac:dyDescent="0.2">
      <c r="A884" s="14"/>
      <c r="B884" s="15"/>
      <c r="C884" s="15"/>
      <c r="D884" s="15"/>
      <c r="E884" s="15"/>
      <c r="F884" s="15"/>
      <c r="G884" s="15"/>
      <c r="H884" s="15"/>
      <c r="I884" s="15"/>
      <c r="J884" s="15"/>
      <c r="K884" s="15"/>
      <c r="L884" s="15"/>
      <c r="M884" s="15"/>
      <c r="N884" s="15"/>
      <c r="O884" s="15"/>
      <c r="P884" s="15"/>
      <c r="Q884" s="15"/>
      <c r="R884" s="16"/>
      <c r="S884" s="16"/>
      <c r="T884" s="16"/>
      <c r="U884" s="16"/>
      <c r="V884" s="16"/>
      <c r="W884" s="15"/>
      <c r="X884" s="60" t="s">
        <v>60</v>
      </c>
    </row>
    <row r="885" spans="1:24" ht="13.5" thickBot="1" x14ac:dyDescent="0.25">
      <c r="A885" s="18"/>
      <c r="B885" s="61"/>
      <c r="C885" s="62"/>
      <c r="D885" s="63" t="s">
        <v>73</v>
      </c>
      <c r="E885" s="64"/>
      <c r="F885" s="64"/>
      <c r="G885" s="64"/>
      <c r="H885" s="61"/>
      <c r="I885" s="64"/>
      <c r="J885" s="64"/>
      <c r="K885" s="65" t="s">
        <v>74</v>
      </c>
      <c r="L885" s="64"/>
      <c r="M885" s="64"/>
      <c r="N885" s="64"/>
      <c r="O885" s="64"/>
      <c r="P885" s="64"/>
      <c r="Q885" s="138"/>
      <c r="R885" s="64"/>
      <c r="S885" s="64"/>
      <c r="T885" s="64"/>
      <c r="U885" s="64"/>
      <c r="V885" s="64"/>
      <c r="W885" s="66"/>
      <c r="X885" s="36" t="s">
        <v>60</v>
      </c>
    </row>
    <row r="886" spans="1:24" ht="12" x14ac:dyDescent="0.2">
      <c r="A886" s="67"/>
      <c r="B886" s="68" t="s">
        <v>11</v>
      </c>
      <c r="C886" s="68" t="s">
        <v>12</v>
      </c>
      <c r="D886" s="68" t="s">
        <v>13</v>
      </c>
      <c r="E886" s="68" t="s">
        <v>14</v>
      </c>
      <c r="F886" s="68" t="s">
        <v>15</v>
      </c>
      <c r="G886" s="69" t="s">
        <v>16</v>
      </c>
      <c r="H886" s="68" t="s">
        <v>17</v>
      </c>
      <c r="I886" s="70"/>
      <c r="J886" s="70"/>
      <c r="K886" s="70"/>
      <c r="L886" s="70"/>
      <c r="M886" s="68" t="s">
        <v>18</v>
      </c>
      <c r="N886" s="68" t="s">
        <v>19</v>
      </c>
      <c r="O886" s="68" t="s">
        <v>20</v>
      </c>
      <c r="P886" s="68" t="s">
        <v>21</v>
      </c>
      <c r="Q886" s="69" t="s">
        <v>16</v>
      </c>
      <c r="R886" s="203" t="s">
        <v>69</v>
      </c>
      <c r="S886" s="202" t="s">
        <v>126</v>
      </c>
      <c r="T886" s="202" t="s">
        <v>138</v>
      </c>
      <c r="U886" s="202" t="s">
        <v>134</v>
      </c>
      <c r="V886" s="202" t="s">
        <v>136</v>
      </c>
      <c r="W886" s="72" t="s">
        <v>7</v>
      </c>
      <c r="X886" s="73" t="s">
        <v>70</v>
      </c>
    </row>
    <row r="887" spans="1:24" ht="12.75" thickBot="1" x14ac:dyDescent="0.25">
      <c r="A887" s="75"/>
      <c r="B887" s="76" t="s">
        <v>23</v>
      </c>
      <c r="C887" s="76" t="s">
        <v>24</v>
      </c>
      <c r="D887" s="76" t="s">
        <v>25</v>
      </c>
      <c r="E887" s="76" t="s">
        <v>26</v>
      </c>
      <c r="F887" s="76" t="s">
        <v>27</v>
      </c>
      <c r="G887" s="77" t="s">
        <v>28</v>
      </c>
      <c r="H887" s="76" t="s">
        <v>29</v>
      </c>
      <c r="I887" s="76" t="s">
        <v>30</v>
      </c>
      <c r="J887" s="76" t="s">
        <v>31</v>
      </c>
      <c r="K887" s="76" t="s">
        <v>32</v>
      </c>
      <c r="L887" s="76" t="s">
        <v>33</v>
      </c>
      <c r="M887" s="76" t="s">
        <v>34</v>
      </c>
      <c r="N887" s="76" t="s">
        <v>35</v>
      </c>
      <c r="O887" s="76" t="s">
        <v>36</v>
      </c>
      <c r="P887" s="76" t="s">
        <v>37</v>
      </c>
      <c r="Q887" s="77" t="s">
        <v>28</v>
      </c>
      <c r="R887" s="204" t="s">
        <v>82</v>
      </c>
      <c r="S887" s="78" t="s">
        <v>130</v>
      </c>
      <c r="T887" s="78" t="s">
        <v>139</v>
      </c>
      <c r="U887" s="78" t="s">
        <v>135</v>
      </c>
      <c r="V887" s="78" t="s">
        <v>189</v>
      </c>
      <c r="W887" s="79" t="s">
        <v>10</v>
      </c>
      <c r="X887" s="80" t="s">
        <v>71</v>
      </c>
    </row>
    <row r="888" spans="1:24" x14ac:dyDescent="0.2">
      <c r="A888" s="18"/>
      <c r="B888" s="33"/>
      <c r="C888" s="33"/>
      <c r="D888" s="33"/>
      <c r="E888" s="33"/>
      <c r="F888" s="33"/>
      <c r="G888" s="34"/>
      <c r="H888" s="33"/>
      <c r="I888" s="33"/>
      <c r="J888" s="33"/>
      <c r="K888" s="33"/>
      <c r="L888" s="33"/>
      <c r="M888" s="33"/>
      <c r="N888" s="33"/>
      <c r="O888" s="33"/>
      <c r="P888" s="33"/>
      <c r="Q888" s="34"/>
      <c r="R888" s="205"/>
      <c r="S888" s="214"/>
      <c r="T888" s="214"/>
      <c r="U888" s="214"/>
      <c r="V888" s="35"/>
      <c r="W888" s="81"/>
      <c r="X888" s="36"/>
    </row>
    <row r="889" spans="1:24" ht="12.75" x14ac:dyDescent="0.2">
      <c r="A889" s="82" t="s">
        <v>41</v>
      </c>
      <c r="B889" s="38">
        <v>272.98</v>
      </c>
      <c r="C889" s="38">
        <v>121678.08</v>
      </c>
      <c r="D889" s="38">
        <v>259690.54</v>
      </c>
      <c r="E889" s="38">
        <v>0</v>
      </c>
      <c r="F889" s="38">
        <v>44558.53</v>
      </c>
      <c r="G889" s="39">
        <f>SUM(B889:F889)</f>
        <v>426200.13</v>
      </c>
      <c r="H889" s="38">
        <v>0</v>
      </c>
      <c r="I889" s="38">
        <v>0</v>
      </c>
      <c r="J889" s="38">
        <v>135683.20000000001</v>
      </c>
      <c r="K889" s="38">
        <v>130193.76</v>
      </c>
      <c r="L889" s="38">
        <v>148226.41</v>
      </c>
      <c r="M889" s="38">
        <v>0</v>
      </c>
      <c r="N889" s="38">
        <v>105614.64</v>
      </c>
      <c r="O889" s="38">
        <v>0</v>
      </c>
      <c r="P889" s="38">
        <v>0</v>
      </c>
      <c r="Q889" s="39">
        <f>SUM(H889:P889)</f>
        <v>519718.01</v>
      </c>
      <c r="R889" s="39">
        <v>0</v>
      </c>
      <c r="S889" s="39">
        <v>0</v>
      </c>
      <c r="T889" s="39">
        <v>0</v>
      </c>
      <c r="U889" s="39">
        <v>0</v>
      </c>
      <c r="V889" s="39">
        <v>0</v>
      </c>
      <c r="W889" s="83">
        <f>Q889+G889+R889+S889+T889+U889+V889</f>
        <v>945918.14</v>
      </c>
      <c r="X889" s="41"/>
    </row>
    <row r="890" spans="1:24" ht="12.75" x14ac:dyDescent="0.2">
      <c r="A890" s="82" t="s">
        <v>42</v>
      </c>
      <c r="B890" s="141">
        <f t="shared" ref="B890:W890" si="240">B875+B889-B841</f>
        <v>818.64000000002591</v>
      </c>
      <c r="C890" s="141">
        <f t="shared" si="240"/>
        <v>1921320.5999999994</v>
      </c>
      <c r="D890" s="141">
        <f t="shared" si="240"/>
        <v>3345364.4399999995</v>
      </c>
      <c r="E890" s="141">
        <f t="shared" si="240"/>
        <v>1345385.4500000002</v>
      </c>
      <c r="F890" s="141">
        <f t="shared" si="240"/>
        <v>1665635.2499999993</v>
      </c>
      <c r="G890" s="172">
        <f t="shared" si="240"/>
        <v>8278524.3800000027</v>
      </c>
      <c r="H890" s="141">
        <f t="shared" si="240"/>
        <v>367109.66000000096</v>
      </c>
      <c r="I890" s="141">
        <f t="shared" si="240"/>
        <v>9.7497832030057907E-10</v>
      </c>
      <c r="J890" s="141">
        <f t="shared" si="240"/>
        <v>996199.18000000052</v>
      </c>
      <c r="K890" s="141">
        <f t="shared" si="240"/>
        <v>968825.19</v>
      </c>
      <c r="L890" s="141">
        <f t="shared" si="240"/>
        <v>663644.82000000076</v>
      </c>
      <c r="M890" s="141">
        <f t="shared" si="240"/>
        <v>266038.25000000041</v>
      </c>
      <c r="N890" s="141">
        <f t="shared" si="240"/>
        <v>948454.53</v>
      </c>
      <c r="O890" s="141">
        <f t="shared" si="240"/>
        <v>1025526.6499999994</v>
      </c>
      <c r="P890" s="141">
        <f t="shared" si="240"/>
        <v>1.3824319466948509E-10</v>
      </c>
      <c r="Q890" s="39">
        <f t="shared" si="240"/>
        <v>5235798.2799999909</v>
      </c>
      <c r="R890" s="172">
        <f t="shared" si="240"/>
        <v>4640636.0900000036</v>
      </c>
      <c r="S890" s="172">
        <f t="shared" si="240"/>
        <v>1781465.7300000004</v>
      </c>
      <c r="T890" s="172">
        <f t="shared" si="240"/>
        <v>3.092281986027956E-11</v>
      </c>
      <c r="U890" s="172">
        <f t="shared" si="240"/>
        <v>1.0368239600211382E-10</v>
      </c>
      <c r="V890" s="172">
        <f t="shared" si="240"/>
        <v>197390.48000000004</v>
      </c>
      <c r="W890" s="83">
        <f t="shared" si="240"/>
        <v>20133814.960000008</v>
      </c>
      <c r="X890" s="41">
        <f>X875+W889</f>
        <v>459206401.70840532</v>
      </c>
    </row>
    <row r="891" spans="1:24" ht="12.75" x14ac:dyDescent="0.2">
      <c r="A891" s="85"/>
      <c r="B891" s="38"/>
      <c r="C891" s="38"/>
      <c r="D891" s="38"/>
      <c r="E891" s="38"/>
      <c r="F891" s="38"/>
      <c r="G891" s="39"/>
      <c r="H891" s="38"/>
      <c r="I891" s="38"/>
      <c r="J891" s="38"/>
      <c r="K891" s="38"/>
      <c r="L891" s="38"/>
      <c r="M891" s="38"/>
      <c r="N891" s="38"/>
      <c r="O891" s="38"/>
      <c r="P891" s="38"/>
      <c r="Q891" s="39" t="s">
        <v>60</v>
      </c>
      <c r="R891" s="47"/>
      <c r="S891" s="47"/>
      <c r="T891" s="47"/>
      <c r="U891" s="47"/>
      <c r="V891" s="43"/>
      <c r="W891" s="83"/>
      <c r="X891" s="41"/>
    </row>
    <row r="892" spans="1:24" ht="12.75" x14ac:dyDescent="0.2">
      <c r="A892" s="82" t="s">
        <v>43</v>
      </c>
      <c r="B892" s="38">
        <v>0</v>
      </c>
      <c r="C892" s="38">
        <v>110552.2</v>
      </c>
      <c r="D892" s="38">
        <v>155605.82999999999</v>
      </c>
      <c r="E892" s="38">
        <v>0</v>
      </c>
      <c r="F892" s="38">
        <v>48203.64</v>
      </c>
      <c r="G892" s="39">
        <f>SUM(B892:F892)</f>
        <v>314361.67</v>
      </c>
      <c r="H892" s="38">
        <v>0</v>
      </c>
      <c r="I892" s="38">
        <v>0</v>
      </c>
      <c r="J892" s="38">
        <v>72468.72</v>
      </c>
      <c r="K892" s="38">
        <v>91121.87</v>
      </c>
      <c r="L892" s="38">
        <v>0</v>
      </c>
      <c r="M892" s="38">
        <v>0</v>
      </c>
      <c r="N892" s="38">
        <v>89039.41</v>
      </c>
      <c r="O892" s="38">
        <v>208599.77</v>
      </c>
      <c r="P892" s="38">
        <v>0</v>
      </c>
      <c r="Q892" s="39">
        <f>SUM(H892:P892)</f>
        <v>461229.77</v>
      </c>
      <c r="R892" s="39">
        <v>0</v>
      </c>
      <c r="S892" s="39">
        <v>0</v>
      </c>
      <c r="T892" s="39">
        <v>0</v>
      </c>
      <c r="U892" s="39">
        <v>0</v>
      </c>
      <c r="V892" s="39">
        <v>0</v>
      </c>
      <c r="W892" s="83">
        <f>Q892+G892+R892+S892+T892+U892+V892</f>
        <v>775591.44</v>
      </c>
      <c r="X892" s="41"/>
    </row>
    <row r="893" spans="1:24" ht="12.75" x14ac:dyDescent="0.2">
      <c r="A893" s="82" t="s">
        <v>42</v>
      </c>
      <c r="B893" s="141">
        <f t="shared" ref="B893:W893" si="241">B890+B892-B844</f>
        <v>818.64000000002591</v>
      </c>
      <c r="C893" s="141">
        <f t="shared" si="241"/>
        <v>1896184.0799999994</v>
      </c>
      <c r="D893" s="141">
        <f t="shared" si="241"/>
        <v>3266391.2499999995</v>
      </c>
      <c r="E893" s="141">
        <f t="shared" si="241"/>
        <v>1345385.4500000002</v>
      </c>
      <c r="F893" s="141">
        <f t="shared" si="241"/>
        <v>1575558.0399999991</v>
      </c>
      <c r="G893" s="39">
        <f t="shared" si="241"/>
        <v>8084337.4600000028</v>
      </c>
      <c r="H893" s="141">
        <f t="shared" si="241"/>
        <v>367109.66000000096</v>
      </c>
      <c r="I893" s="141">
        <f t="shared" si="241"/>
        <v>9.7497832030057907E-10</v>
      </c>
      <c r="J893" s="141">
        <f t="shared" si="241"/>
        <v>1068667.9000000006</v>
      </c>
      <c r="K893" s="141">
        <f t="shared" si="241"/>
        <v>1059947.06</v>
      </c>
      <c r="L893" s="141">
        <f t="shared" si="241"/>
        <v>637892.28000000073</v>
      </c>
      <c r="M893" s="141">
        <f t="shared" si="241"/>
        <v>253974.23000000042</v>
      </c>
      <c r="N893" s="141">
        <f t="shared" si="241"/>
        <v>990335.10000000009</v>
      </c>
      <c r="O893" s="141">
        <f t="shared" si="241"/>
        <v>1161563.0099999995</v>
      </c>
      <c r="P893" s="141">
        <f t="shared" si="241"/>
        <v>1.3824319466948509E-10</v>
      </c>
      <c r="Q893" s="39">
        <f t="shared" si="241"/>
        <v>5539489.2399999918</v>
      </c>
      <c r="R893" s="39">
        <f t="shared" si="241"/>
        <v>4244902.6500000032</v>
      </c>
      <c r="S893" s="39">
        <f t="shared" si="241"/>
        <v>1758627.0500000005</v>
      </c>
      <c r="T893" s="39">
        <f t="shared" si="241"/>
        <v>3.092281986027956E-11</v>
      </c>
      <c r="U893" s="39">
        <f t="shared" si="241"/>
        <v>1.0368239600211382E-10</v>
      </c>
      <c r="V893" s="39">
        <f t="shared" si="241"/>
        <v>99003.490000000034</v>
      </c>
      <c r="W893" s="140">
        <f t="shared" si="241"/>
        <v>19726359.890000008</v>
      </c>
      <c r="X893" s="41">
        <f>W892+X890</f>
        <v>459981993.14840531</v>
      </c>
    </row>
    <row r="894" spans="1:24" ht="12.75" x14ac:dyDescent="0.2">
      <c r="A894" s="85"/>
      <c r="B894" s="44"/>
      <c r="C894" s="44"/>
      <c r="D894" s="44"/>
      <c r="E894" s="44"/>
      <c r="F894" s="44"/>
      <c r="G894" s="45"/>
      <c r="H894" s="44"/>
      <c r="I894" s="44"/>
      <c r="J894" s="44"/>
      <c r="K894" s="44"/>
      <c r="L894" s="44"/>
      <c r="M894" s="44"/>
      <c r="N894" s="44"/>
      <c r="O894" s="44"/>
      <c r="P894" s="44"/>
      <c r="Q894" s="45"/>
      <c r="R894" s="47"/>
      <c r="S894" s="47"/>
      <c r="T894" s="47"/>
      <c r="U894" s="47"/>
      <c r="V894" s="43"/>
      <c r="W894" s="86"/>
      <c r="X894" s="46"/>
    </row>
    <row r="895" spans="1:24" ht="12.75" x14ac:dyDescent="0.2">
      <c r="A895" s="82" t="s">
        <v>44</v>
      </c>
      <c r="B895" s="38">
        <v>272.98</v>
      </c>
      <c r="C895" s="38">
        <v>140692.68</v>
      </c>
      <c r="D895" s="38">
        <v>211507.02</v>
      </c>
      <c r="E895" s="38">
        <v>0</v>
      </c>
      <c r="F895" s="38">
        <v>63135.61</v>
      </c>
      <c r="G895" s="39">
        <f>SUM(B895:F895)</f>
        <v>415608.29</v>
      </c>
      <c r="H895" s="38">
        <v>0</v>
      </c>
      <c r="I895" s="38">
        <v>0</v>
      </c>
      <c r="J895" s="38">
        <v>122016.78</v>
      </c>
      <c r="K895" s="38">
        <v>129679.19</v>
      </c>
      <c r="L895" s="38">
        <v>0</v>
      </c>
      <c r="M895" s="38">
        <v>0</v>
      </c>
      <c r="N895" s="38">
        <v>115328.93</v>
      </c>
      <c r="O895" s="38">
        <v>212474.22</v>
      </c>
      <c r="P895" s="38">
        <v>0</v>
      </c>
      <c r="Q895" s="39">
        <f>SUM(H895:P895)</f>
        <v>579499.12</v>
      </c>
      <c r="R895" s="39">
        <v>0</v>
      </c>
      <c r="S895" s="39">
        <v>1534.76</v>
      </c>
      <c r="T895" s="39">
        <v>0</v>
      </c>
      <c r="U895" s="39">
        <v>0</v>
      </c>
      <c r="V895" s="39">
        <v>0</v>
      </c>
      <c r="W895" s="83">
        <f>Q895+G895+R895+S895+T895+U895+V895</f>
        <v>996642.16999999993</v>
      </c>
      <c r="X895" s="41"/>
    </row>
    <row r="896" spans="1:24" ht="12.75" x14ac:dyDescent="0.2">
      <c r="A896" s="82" t="s">
        <v>42</v>
      </c>
      <c r="B896" s="141">
        <f t="shared" ref="B896:W896" si="242">B893+B895-B847</f>
        <v>1091.6200000000258</v>
      </c>
      <c r="C896" s="141">
        <f t="shared" si="242"/>
        <v>1851506.9299999992</v>
      </c>
      <c r="D896" s="141">
        <f t="shared" si="242"/>
        <v>3146313.7699999996</v>
      </c>
      <c r="E896" s="141">
        <f t="shared" si="242"/>
        <v>1345385.4500000002</v>
      </c>
      <c r="F896" s="141">
        <f t="shared" si="242"/>
        <v>1486028.3899999992</v>
      </c>
      <c r="G896" s="39">
        <f t="shared" si="242"/>
        <v>7830326.160000002</v>
      </c>
      <c r="H896" s="141">
        <f t="shared" si="242"/>
        <v>367109.66000000096</v>
      </c>
      <c r="I896" s="141">
        <f t="shared" si="242"/>
        <v>9.7497832030057907E-10</v>
      </c>
      <c r="J896" s="141">
        <f t="shared" si="242"/>
        <v>1139803.1200000006</v>
      </c>
      <c r="K896" s="141">
        <f t="shared" si="242"/>
        <v>1141975.48</v>
      </c>
      <c r="L896" s="141">
        <f t="shared" si="242"/>
        <v>557425.97000000067</v>
      </c>
      <c r="M896" s="141">
        <f t="shared" si="242"/>
        <v>233257.06000000041</v>
      </c>
      <c r="N896" s="141">
        <f t="shared" si="242"/>
        <v>1041836.54</v>
      </c>
      <c r="O896" s="141">
        <f t="shared" si="242"/>
        <v>1362957.9199999995</v>
      </c>
      <c r="P896" s="141">
        <f t="shared" si="242"/>
        <v>1.3824319466948509E-10</v>
      </c>
      <c r="Q896" s="39">
        <f t="shared" si="242"/>
        <v>5844365.7499999916</v>
      </c>
      <c r="R896" s="39">
        <f t="shared" si="242"/>
        <v>3627937.260000003</v>
      </c>
      <c r="S896" s="39">
        <f t="shared" si="242"/>
        <v>1639211.9100000006</v>
      </c>
      <c r="T896" s="39">
        <f t="shared" si="242"/>
        <v>3.092281986027956E-11</v>
      </c>
      <c r="U896" s="39">
        <f t="shared" si="242"/>
        <v>1.0368239600211382E-10</v>
      </c>
      <c r="V896" s="226">
        <f t="shared" si="242"/>
        <v>99003.490000000034</v>
      </c>
      <c r="W896" s="83">
        <f t="shared" si="242"/>
        <v>19040844.570000011</v>
      </c>
      <c r="X896" s="41">
        <f>W895+X893</f>
        <v>460978635.31840533</v>
      </c>
    </row>
    <row r="897" spans="1:25" ht="12.75" x14ac:dyDescent="0.2">
      <c r="A897" s="85"/>
      <c r="B897" s="43"/>
      <c r="C897" s="43"/>
      <c r="D897" s="43"/>
      <c r="E897" s="43"/>
      <c r="F897" s="43"/>
      <c r="G897" s="47"/>
      <c r="H897" s="43"/>
      <c r="I897" s="43"/>
      <c r="J897" s="43"/>
      <c r="K897" s="43"/>
      <c r="L897" s="43"/>
      <c r="M897" s="43"/>
      <c r="N897" s="43"/>
      <c r="O897" s="43"/>
      <c r="P897" s="43"/>
      <c r="Q897" s="47"/>
      <c r="R897" s="47"/>
      <c r="S897" s="47"/>
      <c r="T897" s="47"/>
      <c r="U897" s="47"/>
      <c r="V897" s="43"/>
      <c r="W897" s="87"/>
      <c r="X897" s="46"/>
    </row>
    <row r="898" spans="1:25" ht="12.75" x14ac:dyDescent="0.2">
      <c r="A898" s="82" t="s">
        <v>45</v>
      </c>
      <c r="B898" s="38">
        <v>0</v>
      </c>
      <c r="C898" s="38">
        <v>144282.04999999999</v>
      </c>
      <c r="D898" s="38">
        <v>274915</v>
      </c>
      <c r="E898" s="38">
        <v>0</v>
      </c>
      <c r="F898" s="38">
        <v>105315.13</v>
      </c>
      <c r="G898" s="39">
        <f>SUM(B898:F898)</f>
        <v>524512.17999999993</v>
      </c>
      <c r="H898" s="38">
        <v>0</v>
      </c>
      <c r="I898" s="38">
        <v>0</v>
      </c>
      <c r="J898" s="38">
        <v>102976.86</v>
      </c>
      <c r="K898" s="38">
        <v>115049.04</v>
      </c>
      <c r="L898" s="38">
        <v>0</v>
      </c>
      <c r="M898" s="38">
        <v>0</v>
      </c>
      <c r="N898" s="38">
        <v>121791.31</v>
      </c>
      <c r="O898" s="38">
        <v>120678.56</v>
      </c>
      <c r="P898" s="38">
        <v>0</v>
      </c>
      <c r="Q898" s="39">
        <f>SUM(H898:P898)</f>
        <v>460495.76999999996</v>
      </c>
      <c r="R898" s="39">
        <v>0</v>
      </c>
      <c r="S898" s="258">
        <v>70504.83</v>
      </c>
      <c r="T898" s="39">
        <v>0</v>
      </c>
      <c r="U898" s="39">
        <v>0</v>
      </c>
      <c r="V898" s="39">
        <v>0</v>
      </c>
      <c r="W898" s="83">
        <f>Q898+G898+R898+S898+T898+U898+V898</f>
        <v>1055512.78</v>
      </c>
      <c r="X898" s="41"/>
    </row>
    <row r="899" spans="1:25" ht="12.75" x14ac:dyDescent="0.2">
      <c r="A899" s="82" t="s">
        <v>42</v>
      </c>
      <c r="B899" s="141">
        <f t="shared" ref="B899:W899" si="243">B896+B898-B850</f>
        <v>1091.6200000000258</v>
      </c>
      <c r="C899" s="141">
        <f t="shared" si="243"/>
        <v>1834826.3199999994</v>
      </c>
      <c r="D899" s="141">
        <f t="shared" si="243"/>
        <v>3150433.76</v>
      </c>
      <c r="E899" s="141">
        <f t="shared" si="243"/>
        <v>1264551.6800000002</v>
      </c>
      <c r="F899" s="141">
        <f t="shared" si="243"/>
        <v>1422864.0299999991</v>
      </c>
      <c r="G899" s="39">
        <f t="shared" si="243"/>
        <v>7673767.410000002</v>
      </c>
      <c r="H899" s="141">
        <f t="shared" si="243"/>
        <v>331684.69000000099</v>
      </c>
      <c r="I899" s="141">
        <f t="shared" si="243"/>
        <v>9.7497832030057907E-10</v>
      </c>
      <c r="J899" s="141">
        <f t="shared" si="243"/>
        <v>1185274.4300000006</v>
      </c>
      <c r="K899" s="141">
        <f t="shared" si="243"/>
        <v>1201149.06</v>
      </c>
      <c r="L899" s="141">
        <f t="shared" si="243"/>
        <v>489720.35000000068</v>
      </c>
      <c r="M899" s="141">
        <f t="shared" si="243"/>
        <v>208358.8700000004</v>
      </c>
      <c r="N899" s="141">
        <f t="shared" si="243"/>
        <v>1098946.8700000001</v>
      </c>
      <c r="O899" s="141">
        <f t="shared" si="243"/>
        <v>1462981.2699999996</v>
      </c>
      <c r="P899" s="141">
        <f t="shared" si="243"/>
        <v>1.3824319466948509E-10</v>
      </c>
      <c r="Q899" s="39">
        <f t="shared" si="243"/>
        <v>5978115.5399999907</v>
      </c>
      <c r="R899" s="39">
        <f t="shared" si="243"/>
        <v>3275284.950000003</v>
      </c>
      <c r="S899" s="39">
        <f t="shared" si="243"/>
        <v>1495343.0400000007</v>
      </c>
      <c r="T899" s="39">
        <f t="shared" si="243"/>
        <v>3.092281986027956E-11</v>
      </c>
      <c r="U899" s="39">
        <f t="shared" si="243"/>
        <v>1.0368239600211382E-10</v>
      </c>
      <c r="V899" s="39">
        <f t="shared" si="243"/>
        <v>99003.490000000034</v>
      </c>
      <c r="W899" s="140">
        <f t="shared" si="243"/>
        <v>18521514.430000011</v>
      </c>
      <c r="X899" s="41">
        <f>W898+X896</f>
        <v>462034148.0984053</v>
      </c>
    </row>
    <row r="900" spans="1:25" ht="12.75" x14ac:dyDescent="0.2">
      <c r="A900" s="85"/>
      <c r="B900" s="44"/>
      <c r="C900" s="44"/>
      <c r="D900" s="44"/>
      <c r="E900" s="44"/>
      <c r="F900" s="44"/>
      <c r="G900" s="45"/>
      <c r="H900" s="44"/>
      <c r="I900" s="44"/>
      <c r="J900" s="44"/>
      <c r="K900" s="44"/>
      <c r="L900" s="44"/>
      <c r="M900" s="44"/>
      <c r="N900" s="44"/>
      <c r="O900" s="44"/>
      <c r="P900" s="44"/>
      <c r="Q900" s="45"/>
      <c r="R900" s="47"/>
      <c r="S900" s="47"/>
      <c r="T900" s="47"/>
      <c r="U900" s="47"/>
      <c r="V900" s="43"/>
      <c r="W900" s="86"/>
      <c r="X900" s="46"/>
    </row>
    <row r="901" spans="1:25" ht="12.75" x14ac:dyDescent="0.2">
      <c r="A901" s="82" t="s">
        <v>46</v>
      </c>
      <c r="B901" s="38">
        <v>0</v>
      </c>
      <c r="C901" s="38">
        <v>137891.09</v>
      </c>
      <c r="D901" s="38">
        <v>276238.42</v>
      </c>
      <c r="E901" s="38">
        <v>0</v>
      </c>
      <c r="F901" s="38">
        <v>153678.54999999999</v>
      </c>
      <c r="G901" s="39">
        <f>SUM(B901:F901)</f>
        <v>567808.06000000006</v>
      </c>
      <c r="H901" s="38">
        <v>0</v>
      </c>
      <c r="I901" s="38">
        <v>0</v>
      </c>
      <c r="J901" s="38">
        <v>119317.24</v>
      </c>
      <c r="K901" s="38">
        <v>118266.23</v>
      </c>
      <c r="L901" s="38">
        <v>0</v>
      </c>
      <c r="M901" s="38">
        <v>28886.83</v>
      </c>
      <c r="N901" s="38">
        <v>136595.41</v>
      </c>
      <c r="O901" s="38">
        <v>0</v>
      </c>
      <c r="P901" s="38">
        <v>169146</v>
      </c>
      <c r="Q901" s="39">
        <f>SUM(H901:P901)</f>
        <v>572211.71</v>
      </c>
      <c r="R901" s="39">
        <v>3395.55</v>
      </c>
      <c r="S901" s="259">
        <v>124775.24</v>
      </c>
      <c r="T901" s="39">
        <v>0</v>
      </c>
      <c r="U901" s="39">
        <v>0</v>
      </c>
      <c r="V901" s="39">
        <v>0</v>
      </c>
      <c r="W901" s="83">
        <f>Q901+G901+R901+S901+T901+U901+V901</f>
        <v>1268190.56</v>
      </c>
      <c r="X901" s="41"/>
    </row>
    <row r="902" spans="1:25" ht="12.75" x14ac:dyDescent="0.2">
      <c r="A902" s="82" t="s">
        <v>42</v>
      </c>
      <c r="B902" s="141">
        <f t="shared" ref="B902:W902" si="244">B899+B901-B853</f>
        <v>1091.6200000000258</v>
      </c>
      <c r="C902" s="141">
        <f t="shared" si="244"/>
        <v>1768087.4299999995</v>
      </c>
      <c r="D902" s="141">
        <f t="shared" si="244"/>
        <v>3171183.42</v>
      </c>
      <c r="E902" s="141">
        <f t="shared" si="244"/>
        <v>1114627.9500000002</v>
      </c>
      <c r="F902" s="141">
        <f t="shared" si="244"/>
        <v>1475072.7599999991</v>
      </c>
      <c r="G902" s="39">
        <f t="shared" si="244"/>
        <v>7530063.1800000025</v>
      </c>
      <c r="H902" s="141">
        <f t="shared" si="244"/>
        <v>331684.69000000099</v>
      </c>
      <c r="I902" s="141">
        <f t="shared" si="244"/>
        <v>9.7497832030057907E-10</v>
      </c>
      <c r="J902" s="141">
        <f t="shared" si="244"/>
        <v>1246370.3800000006</v>
      </c>
      <c r="K902" s="141">
        <f t="shared" si="244"/>
        <v>1266453.93</v>
      </c>
      <c r="L902" s="141">
        <f t="shared" si="244"/>
        <v>456929.89000000065</v>
      </c>
      <c r="M902" s="141">
        <f t="shared" si="244"/>
        <v>211007.17000000042</v>
      </c>
      <c r="N902" s="141">
        <f t="shared" si="244"/>
        <v>1172637.97</v>
      </c>
      <c r="O902" s="141">
        <f t="shared" si="244"/>
        <v>1391335.4799999995</v>
      </c>
      <c r="P902" s="141">
        <f t="shared" si="244"/>
        <v>169146.00000000015</v>
      </c>
      <c r="Q902" s="39">
        <f t="shared" si="244"/>
        <v>6245565.5099999905</v>
      </c>
      <c r="R902" s="39">
        <f t="shared" si="244"/>
        <v>2774377.2500000028</v>
      </c>
      <c r="S902" s="39">
        <f t="shared" si="244"/>
        <v>1204299.6400000006</v>
      </c>
      <c r="T902" s="39">
        <f t="shared" si="244"/>
        <v>3.092281986027956E-11</v>
      </c>
      <c r="U902" s="39">
        <f t="shared" si="244"/>
        <v>1.0368239600211382E-10</v>
      </c>
      <c r="V902" s="39">
        <f t="shared" si="244"/>
        <v>99003.490000000034</v>
      </c>
      <c r="W902" s="140">
        <f t="shared" si="244"/>
        <v>17853309.070000008</v>
      </c>
      <c r="X902" s="41">
        <f>W901+X899</f>
        <v>463302338.6584053</v>
      </c>
    </row>
    <row r="903" spans="1:25" ht="12.75" x14ac:dyDescent="0.2">
      <c r="A903" s="85"/>
      <c r="B903" s="44"/>
      <c r="C903" s="44"/>
      <c r="D903" s="44"/>
      <c r="E903" s="44"/>
      <c r="F903" s="44"/>
      <c r="G903" s="45"/>
      <c r="H903" s="44"/>
      <c r="I903" s="44"/>
      <c r="J903" s="44"/>
      <c r="K903" s="44"/>
      <c r="L903" s="44"/>
      <c r="M903" s="44"/>
      <c r="N903" s="44"/>
      <c r="O903" s="44"/>
      <c r="P903" s="44"/>
      <c r="Q903" s="45"/>
      <c r="R903" s="47"/>
      <c r="S903" s="47"/>
      <c r="T903" s="47"/>
      <c r="U903" s="47"/>
      <c r="V903" s="43"/>
      <c r="W903" s="86"/>
      <c r="X903" s="46"/>
    </row>
    <row r="904" spans="1:25" ht="12.75" x14ac:dyDescent="0.2">
      <c r="A904" s="82" t="s">
        <v>47</v>
      </c>
      <c r="B904" s="38">
        <v>0</v>
      </c>
      <c r="C904" s="38">
        <v>157043.03</v>
      </c>
      <c r="D904" s="38">
        <v>282972.15999999997</v>
      </c>
      <c r="E904" s="38">
        <v>0</v>
      </c>
      <c r="F904" s="38">
        <v>142338.14000000001</v>
      </c>
      <c r="G904" s="39">
        <f>SUM(B904:F904)</f>
        <v>582353.32999999996</v>
      </c>
      <c r="H904" s="38">
        <v>34825.879999999997</v>
      </c>
      <c r="I904" s="38">
        <v>46347.69</v>
      </c>
      <c r="J904" s="38">
        <v>114347.73</v>
      </c>
      <c r="K904" s="38">
        <v>109214.31</v>
      </c>
      <c r="L904" s="38">
        <v>195074.89</v>
      </c>
      <c r="M904" s="38">
        <v>33505.71</v>
      </c>
      <c r="N904" s="38">
        <v>85817.93</v>
      </c>
      <c r="O904" s="38">
        <v>39301.43</v>
      </c>
      <c r="P904" s="38">
        <v>132933.35999999999</v>
      </c>
      <c r="Q904" s="39">
        <f>SUM(H904:P904)</f>
        <v>791368.92999999993</v>
      </c>
      <c r="R904" s="39">
        <v>119255.01</v>
      </c>
      <c r="S904" s="259">
        <v>6303.09</v>
      </c>
      <c r="T904" s="39">
        <v>0</v>
      </c>
      <c r="U904" s="39">
        <v>0</v>
      </c>
      <c r="V904" s="39">
        <v>0</v>
      </c>
      <c r="W904" s="83">
        <f>Q904+G904+R904+S904+T904+U904+V904</f>
        <v>1499280.3599999999</v>
      </c>
      <c r="X904" s="41"/>
      <c r="Y904" s="1" t="s">
        <v>204</v>
      </c>
    </row>
    <row r="905" spans="1:25" ht="12.75" x14ac:dyDescent="0.2">
      <c r="A905" s="82" t="s">
        <v>42</v>
      </c>
      <c r="B905" s="141">
        <f t="shared" ref="B905:W905" si="245">B902+B904-B856</f>
        <v>1091.6200000000258</v>
      </c>
      <c r="C905" s="141">
        <f t="shared" si="245"/>
        <v>1729408.8799999994</v>
      </c>
      <c r="D905" s="141">
        <f t="shared" si="245"/>
        <v>3141125.08</v>
      </c>
      <c r="E905" s="141">
        <f t="shared" si="245"/>
        <v>765056.6100000001</v>
      </c>
      <c r="F905" s="141">
        <f t="shared" si="245"/>
        <v>1445359.7899999991</v>
      </c>
      <c r="G905" s="39">
        <f t="shared" si="245"/>
        <v>7082041.9800000023</v>
      </c>
      <c r="H905" s="141">
        <f t="shared" si="245"/>
        <v>342232.49000000098</v>
      </c>
      <c r="I905" s="141">
        <f t="shared" si="245"/>
        <v>46347.690000000977</v>
      </c>
      <c r="J905" s="141">
        <f t="shared" si="245"/>
        <v>1257137.0900000005</v>
      </c>
      <c r="K905" s="141">
        <f t="shared" si="245"/>
        <v>1274581.74</v>
      </c>
      <c r="L905" s="141">
        <f t="shared" si="245"/>
        <v>560864.41000000073</v>
      </c>
      <c r="M905" s="141">
        <f t="shared" si="245"/>
        <v>232072.75000000041</v>
      </c>
      <c r="N905" s="141">
        <f t="shared" si="245"/>
        <v>1184370.42</v>
      </c>
      <c r="O905" s="141">
        <f t="shared" si="245"/>
        <v>1264998.4599999995</v>
      </c>
      <c r="P905" s="141">
        <f t="shared" si="245"/>
        <v>302079.3600000001</v>
      </c>
      <c r="Q905" s="39">
        <f t="shared" si="245"/>
        <v>6464684.4099999899</v>
      </c>
      <c r="R905" s="39">
        <f t="shared" si="245"/>
        <v>2310212.5000000028</v>
      </c>
      <c r="S905" s="39">
        <f t="shared" si="245"/>
        <v>1210602.7300000007</v>
      </c>
      <c r="T905" s="39">
        <f t="shared" si="245"/>
        <v>3.092281986027956E-11</v>
      </c>
      <c r="U905" s="39">
        <f t="shared" si="245"/>
        <v>1.0368239600211382E-10</v>
      </c>
      <c r="V905" s="39">
        <f t="shared" si="245"/>
        <v>99003.490000000034</v>
      </c>
      <c r="W905" s="140">
        <f t="shared" si="245"/>
        <v>17166545.110000007</v>
      </c>
      <c r="X905" s="41">
        <f>W904+X902</f>
        <v>464801619.01840532</v>
      </c>
    </row>
    <row r="906" spans="1:25" ht="12.75" x14ac:dyDescent="0.2">
      <c r="A906" s="85"/>
      <c r="B906" s="43"/>
      <c r="C906" s="43"/>
      <c r="D906" s="43"/>
      <c r="E906" s="43"/>
      <c r="F906" s="43"/>
      <c r="G906" s="47"/>
      <c r="H906" s="43"/>
      <c r="I906" s="43"/>
      <c r="J906" s="43"/>
      <c r="K906" s="43"/>
      <c r="L906" s="43"/>
      <c r="M906" s="43"/>
      <c r="N906" s="43"/>
      <c r="O906" s="43"/>
      <c r="P906" s="43"/>
      <c r="Q906" s="47"/>
      <c r="R906" s="47"/>
      <c r="S906" s="47"/>
      <c r="T906" s="47"/>
      <c r="U906" s="47"/>
      <c r="V906" s="43"/>
      <c r="W906" s="87"/>
      <c r="X906" s="46"/>
    </row>
    <row r="907" spans="1:25" ht="12.75" x14ac:dyDescent="0.2">
      <c r="A907" s="82" t="s">
        <v>48</v>
      </c>
      <c r="B907" s="38">
        <v>0</v>
      </c>
      <c r="C907" s="38">
        <v>160554.73000000001</v>
      </c>
      <c r="D907" s="38">
        <v>247972.81</v>
      </c>
      <c r="E907" s="38">
        <v>0</v>
      </c>
      <c r="F907" s="38">
        <v>140170.1</v>
      </c>
      <c r="G907" s="39">
        <f>SUM(B907:F907)</f>
        <v>548697.64</v>
      </c>
      <c r="H907" s="38">
        <v>561446.23</v>
      </c>
      <c r="I907" s="38">
        <v>457155.65</v>
      </c>
      <c r="J907" s="38">
        <v>153388.26</v>
      </c>
      <c r="K907" s="38">
        <v>169827.64</v>
      </c>
      <c r="L907" s="38">
        <v>290555.03999999998</v>
      </c>
      <c r="M907" s="38">
        <v>64672.07</v>
      </c>
      <c r="N907" s="38">
        <v>0</v>
      </c>
      <c r="O907" s="38">
        <v>21740.68</v>
      </c>
      <c r="P907" s="38">
        <v>30239.49</v>
      </c>
      <c r="Q907" s="39">
        <f>SUM(H907:P907)</f>
        <v>1749025.0600000003</v>
      </c>
      <c r="R907" s="39">
        <v>375536.16</v>
      </c>
      <c r="S907" s="259">
        <v>109102.17</v>
      </c>
      <c r="T907" s="39">
        <v>0</v>
      </c>
      <c r="U907" s="39">
        <v>0</v>
      </c>
      <c r="V907" s="39">
        <v>0</v>
      </c>
      <c r="W907" s="83">
        <f>Q907+G907+R907+S907+T907+U907+V907</f>
        <v>2782361.0300000003</v>
      </c>
      <c r="X907" s="41"/>
    </row>
    <row r="908" spans="1:25" ht="12.75" x14ac:dyDescent="0.2">
      <c r="A908" s="82" t="s">
        <v>42</v>
      </c>
      <c r="B908" s="141">
        <f t="shared" ref="B908:W908" si="246">B905+B907-B859</f>
        <v>1091.6200000000258</v>
      </c>
      <c r="C908" s="141">
        <f t="shared" si="246"/>
        <v>1688455.9999999995</v>
      </c>
      <c r="D908" s="141">
        <f t="shared" si="246"/>
        <v>3078309.74</v>
      </c>
      <c r="E908" s="141">
        <f t="shared" si="246"/>
        <v>505978.50000000012</v>
      </c>
      <c r="F908" s="141">
        <f t="shared" si="246"/>
        <v>1418444.7699999991</v>
      </c>
      <c r="G908" s="39">
        <f t="shared" si="246"/>
        <v>6692280.6300000018</v>
      </c>
      <c r="H908" s="141">
        <f t="shared" si="246"/>
        <v>816802.24000000092</v>
      </c>
      <c r="I908" s="141">
        <f t="shared" si="246"/>
        <v>503503.34000000102</v>
      </c>
      <c r="J908" s="141">
        <f t="shared" si="246"/>
        <v>1326274.7400000005</v>
      </c>
      <c r="K908" s="141">
        <f t="shared" si="246"/>
        <v>1358845.2</v>
      </c>
      <c r="L908" s="141">
        <f t="shared" si="246"/>
        <v>711756.71000000066</v>
      </c>
      <c r="M908" s="141">
        <f t="shared" si="246"/>
        <v>252123.46000000043</v>
      </c>
      <c r="N908" s="141">
        <f t="shared" si="246"/>
        <v>1107122.8199999998</v>
      </c>
      <c r="O908" s="141">
        <f t="shared" si="246"/>
        <v>1155849.7599999993</v>
      </c>
      <c r="P908" s="141">
        <f t="shared" si="246"/>
        <v>332318.85000000009</v>
      </c>
      <c r="Q908" s="39">
        <f t="shared" si="246"/>
        <v>7564597.1199999908</v>
      </c>
      <c r="R908" s="39">
        <f t="shared" si="246"/>
        <v>1833245.470000003</v>
      </c>
      <c r="S908" s="39">
        <f t="shared" si="246"/>
        <v>1271059.4000000006</v>
      </c>
      <c r="T908" s="39">
        <f t="shared" si="246"/>
        <v>3.092281986027956E-11</v>
      </c>
      <c r="U908" s="39">
        <f t="shared" si="246"/>
        <v>1.0368239600211382E-10</v>
      </c>
      <c r="V908" s="39">
        <f t="shared" si="246"/>
        <v>99003.490000000034</v>
      </c>
      <c r="W908" s="140">
        <f t="shared" si="246"/>
        <v>17460186.110000007</v>
      </c>
      <c r="X908" s="41">
        <f>W907+X905</f>
        <v>467583980.04840529</v>
      </c>
    </row>
    <row r="909" spans="1:25" ht="12.75" x14ac:dyDescent="0.2">
      <c r="A909" s="85"/>
      <c r="B909" s="44"/>
      <c r="C909" s="44"/>
      <c r="D909" s="44"/>
      <c r="E909" s="44"/>
      <c r="F909" s="44"/>
      <c r="G909" s="45"/>
      <c r="H909" s="44"/>
      <c r="I909" s="44"/>
      <c r="J909" s="44"/>
      <c r="K909" s="44"/>
      <c r="L909" s="44"/>
      <c r="M909" s="44"/>
      <c r="N909" s="44"/>
      <c r="O909" s="44"/>
      <c r="P909" s="44"/>
      <c r="Q909" s="45"/>
      <c r="R909" s="47"/>
      <c r="S909" s="47"/>
      <c r="T909" s="47"/>
      <c r="U909" s="47"/>
      <c r="V909" s="43"/>
      <c r="W909" s="86"/>
      <c r="X909" s="46"/>
    </row>
    <row r="910" spans="1:25" ht="12.75" x14ac:dyDescent="0.2">
      <c r="A910" s="82" t="s">
        <v>49</v>
      </c>
      <c r="B910" s="38">
        <v>0</v>
      </c>
      <c r="C910" s="38">
        <v>187950.56</v>
      </c>
      <c r="D910" s="38">
        <v>224167.26</v>
      </c>
      <c r="E910" s="38">
        <v>0</v>
      </c>
      <c r="F910" s="38">
        <v>158458.82999999999</v>
      </c>
      <c r="G910" s="39">
        <f>SUM(B910:F910)</f>
        <v>570576.65</v>
      </c>
      <c r="H910" s="38">
        <v>485535.79</v>
      </c>
      <c r="I910" s="38">
        <v>405583.43</v>
      </c>
      <c r="J910" s="38">
        <v>211480.18</v>
      </c>
      <c r="K910" s="38">
        <v>181147.51</v>
      </c>
      <c r="L910" s="38">
        <v>274122.43</v>
      </c>
      <c r="M910" s="38">
        <v>61104.28</v>
      </c>
      <c r="N910" s="38">
        <v>0</v>
      </c>
      <c r="O910" s="38">
        <v>16861.09</v>
      </c>
      <c r="P910" s="38">
        <v>134994.10999999999</v>
      </c>
      <c r="Q910" s="39">
        <f>SUM(H910:P910)</f>
        <v>1770828.8199999998</v>
      </c>
      <c r="R910" s="39">
        <v>336550.73</v>
      </c>
      <c r="S910" s="39">
        <v>0</v>
      </c>
      <c r="T910" s="39">
        <v>0</v>
      </c>
      <c r="U910" s="39">
        <v>0</v>
      </c>
      <c r="V910" s="39">
        <v>0</v>
      </c>
      <c r="W910" s="83">
        <f>Q910+G910+R910+S910+T910+U910+V910</f>
        <v>2677956.1999999997</v>
      </c>
      <c r="X910" s="41"/>
    </row>
    <row r="911" spans="1:25" ht="12.75" x14ac:dyDescent="0.2">
      <c r="A911" s="82" t="s">
        <v>42</v>
      </c>
      <c r="B911" s="141">
        <f t="shared" ref="B911:W911" si="247">B908+B910-B862</f>
        <v>1091.6200000000258</v>
      </c>
      <c r="C911" s="141">
        <f t="shared" si="247"/>
        <v>1681112.4299999997</v>
      </c>
      <c r="D911" s="141">
        <f t="shared" si="247"/>
        <v>2989246.48</v>
      </c>
      <c r="E911" s="141">
        <f t="shared" si="247"/>
        <v>246430.24000000011</v>
      </c>
      <c r="F911" s="141">
        <f t="shared" si="247"/>
        <v>1405017.8299999991</v>
      </c>
      <c r="G911" s="39">
        <f t="shared" si="247"/>
        <v>6322898.6000000024</v>
      </c>
      <c r="H911" s="141">
        <f t="shared" si="247"/>
        <v>1209932.110000001</v>
      </c>
      <c r="I911" s="141">
        <f t="shared" si="247"/>
        <v>909086.77000000095</v>
      </c>
      <c r="J911" s="141">
        <f t="shared" si="247"/>
        <v>1446293.6900000004</v>
      </c>
      <c r="K911" s="141">
        <f t="shared" si="247"/>
        <v>1448367.6199999999</v>
      </c>
      <c r="L911" s="141">
        <f t="shared" si="247"/>
        <v>907978.7700000006</v>
      </c>
      <c r="M911" s="141">
        <f t="shared" si="247"/>
        <v>265635.04000000044</v>
      </c>
      <c r="N911" s="141">
        <f t="shared" si="247"/>
        <v>1025888.0399999998</v>
      </c>
      <c r="O911" s="141">
        <f t="shared" si="247"/>
        <v>1069033.6799999995</v>
      </c>
      <c r="P911" s="141">
        <f t="shared" si="247"/>
        <v>467312.96000000008</v>
      </c>
      <c r="Q911" s="39">
        <f t="shared" si="247"/>
        <v>8749528.6799999904</v>
      </c>
      <c r="R911" s="39">
        <f t="shared" si="247"/>
        <v>1545802.0700000031</v>
      </c>
      <c r="S911" s="39">
        <f t="shared" si="247"/>
        <v>1080313.7600000007</v>
      </c>
      <c r="T911" s="39">
        <f t="shared" si="247"/>
        <v>3.092281986027956E-11</v>
      </c>
      <c r="U911" s="39">
        <f t="shared" si="247"/>
        <v>1.0368239600211382E-10</v>
      </c>
      <c r="V911" s="39">
        <f t="shared" si="247"/>
        <v>99003.490000000034</v>
      </c>
      <c r="W911" s="140">
        <f t="shared" si="247"/>
        <v>17797546.600000005</v>
      </c>
      <c r="X911" s="41">
        <f>W910+X908</f>
        <v>470261936.24840528</v>
      </c>
    </row>
    <row r="912" spans="1:25" ht="12.75" x14ac:dyDescent="0.2">
      <c r="A912" s="85"/>
      <c r="B912" s="43"/>
      <c r="C912" s="43"/>
      <c r="D912" s="43"/>
      <c r="E912" s="43"/>
      <c r="F912" s="43"/>
      <c r="G912" s="47"/>
      <c r="H912" s="43"/>
      <c r="I912" s="43"/>
      <c r="J912" s="43"/>
      <c r="K912" s="43"/>
      <c r="L912" s="43"/>
      <c r="M912" s="43"/>
      <c r="N912" s="43"/>
      <c r="O912" s="43"/>
      <c r="P912" s="43"/>
      <c r="Q912" s="47"/>
      <c r="R912" s="47"/>
      <c r="S912" s="47"/>
      <c r="T912" s="47"/>
      <c r="U912" s="47"/>
      <c r="V912" s="43"/>
      <c r="W912" s="87"/>
      <c r="X912" s="46"/>
    </row>
    <row r="913" spans="1:24" ht="12.75" x14ac:dyDescent="0.2">
      <c r="A913" s="82" t="s">
        <v>50</v>
      </c>
      <c r="B913" s="38">
        <v>0</v>
      </c>
      <c r="C913" s="38">
        <v>168800.95</v>
      </c>
      <c r="D913" s="38">
        <v>202322.55</v>
      </c>
      <c r="E913" s="38">
        <v>0</v>
      </c>
      <c r="F913" s="38">
        <v>113981.22</v>
      </c>
      <c r="G913" s="39">
        <f>SUM(B913:F913)</f>
        <v>485104.72</v>
      </c>
      <c r="H913" s="38">
        <v>395385.27</v>
      </c>
      <c r="I913" s="38">
        <v>380250.13</v>
      </c>
      <c r="J913" s="38">
        <v>174040.61</v>
      </c>
      <c r="K913" s="38">
        <v>166935.76999999999</v>
      </c>
      <c r="L913" s="38">
        <v>209013.48</v>
      </c>
      <c r="M913" s="38">
        <v>41533.83</v>
      </c>
      <c r="N913" s="38">
        <v>0</v>
      </c>
      <c r="O913" s="38">
        <v>98993.72</v>
      </c>
      <c r="P913" s="38">
        <v>0</v>
      </c>
      <c r="Q913" s="39">
        <f>SUM(H913:P913)</f>
        <v>1466152.81</v>
      </c>
      <c r="R913" s="39">
        <v>290961.27</v>
      </c>
      <c r="S913" s="39">
        <v>0</v>
      </c>
      <c r="T913" s="39">
        <v>0</v>
      </c>
      <c r="U913" s="39">
        <v>0</v>
      </c>
      <c r="V913" s="39">
        <v>0</v>
      </c>
      <c r="W913" s="83">
        <f>Q913+G913+R913+S913+T913+U913+V913</f>
        <v>2242218.7999999998</v>
      </c>
      <c r="X913" s="41"/>
    </row>
    <row r="914" spans="1:24" ht="12.75" x14ac:dyDescent="0.2">
      <c r="A914" s="82" t="s">
        <v>42</v>
      </c>
      <c r="B914" s="141">
        <f t="shared" ref="B914:W914" si="248">B911+B913-B865</f>
        <v>1091.6200000000258</v>
      </c>
      <c r="C914" s="141">
        <f t="shared" si="248"/>
        <v>1670905.0199999996</v>
      </c>
      <c r="D914" s="141">
        <f t="shared" si="248"/>
        <v>2898588.79</v>
      </c>
      <c r="E914" s="141">
        <f t="shared" si="248"/>
        <v>51265.940000000119</v>
      </c>
      <c r="F914" s="141">
        <f t="shared" si="248"/>
        <v>1377844.8299999991</v>
      </c>
      <c r="G914" s="39">
        <f t="shared" si="248"/>
        <v>5999696.200000002</v>
      </c>
      <c r="H914" s="141">
        <f t="shared" si="248"/>
        <v>1510058.9100000011</v>
      </c>
      <c r="I914" s="141">
        <f t="shared" si="248"/>
        <v>1289336.9000000008</v>
      </c>
      <c r="J914" s="141">
        <f t="shared" si="248"/>
        <v>1526441.7200000002</v>
      </c>
      <c r="K914" s="141">
        <f t="shared" si="248"/>
        <v>1518821.67</v>
      </c>
      <c r="L914" s="141">
        <f t="shared" si="248"/>
        <v>1116992.2500000007</v>
      </c>
      <c r="M914" s="141">
        <f t="shared" si="248"/>
        <v>259111.13000000047</v>
      </c>
      <c r="N914" s="141">
        <f t="shared" si="248"/>
        <v>952104.45999999985</v>
      </c>
      <c r="O914" s="141">
        <f t="shared" si="248"/>
        <v>1041202.3599999994</v>
      </c>
      <c r="P914" s="141">
        <f t="shared" si="248"/>
        <v>467312.96000000008</v>
      </c>
      <c r="Q914" s="39">
        <f t="shared" si="248"/>
        <v>9681382.3599999901</v>
      </c>
      <c r="R914" s="39">
        <f t="shared" si="248"/>
        <v>1361951.520000003</v>
      </c>
      <c r="S914" s="39">
        <f t="shared" si="248"/>
        <v>828666.70000000065</v>
      </c>
      <c r="T914" s="39">
        <f t="shared" si="248"/>
        <v>3.092281986027956E-11</v>
      </c>
      <c r="U914" s="39">
        <f t="shared" si="248"/>
        <v>1.0368239600211382E-10</v>
      </c>
      <c r="V914" s="39">
        <f t="shared" si="248"/>
        <v>99003.490000000034</v>
      </c>
      <c r="W914" s="140">
        <f t="shared" si="248"/>
        <v>17970700.270000007</v>
      </c>
      <c r="X914" s="41">
        <f>W913+X911</f>
        <v>472504155.04840529</v>
      </c>
    </row>
    <row r="915" spans="1:24" ht="12.75" x14ac:dyDescent="0.2">
      <c r="A915" s="85"/>
      <c r="B915" s="43"/>
      <c r="C915" s="43"/>
      <c r="D915" s="43"/>
      <c r="E915" s="43"/>
      <c r="F915" s="43"/>
      <c r="G915" s="47"/>
      <c r="H915" s="43"/>
      <c r="I915" s="43"/>
      <c r="J915" s="43"/>
      <c r="K915" s="43"/>
      <c r="L915" s="43"/>
      <c r="M915" s="43"/>
      <c r="N915" s="43"/>
      <c r="O915" s="43"/>
      <c r="P915" s="43"/>
      <c r="Q915" s="47"/>
      <c r="R915" s="47"/>
      <c r="S915" s="47"/>
      <c r="T915" s="47"/>
      <c r="U915" s="47"/>
      <c r="V915" s="43"/>
      <c r="W915" s="87"/>
      <c r="X915" s="46"/>
    </row>
    <row r="916" spans="1:24" ht="12.75" x14ac:dyDescent="0.2">
      <c r="A916" s="82" t="s">
        <v>51</v>
      </c>
      <c r="B916" s="38">
        <v>0</v>
      </c>
      <c r="C916" s="38">
        <v>176733.8</v>
      </c>
      <c r="D916" s="38">
        <v>224732.27</v>
      </c>
      <c r="E916" s="38">
        <v>0</v>
      </c>
      <c r="F916" s="38">
        <v>139791.09</v>
      </c>
      <c r="G916" s="39">
        <f>SUM(B916:F916)</f>
        <v>541257.15999999992</v>
      </c>
      <c r="H916" s="38">
        <v>134341.6</v>
      </c>
      <c r="I916" s="38">
        <v>2371.62</v>
      </c>
      <c r="J916" s="38">
        <v>146623.37</v>
      </c>
      <c r="K916" s="38">
        <v>142700.66</v>
      </c>
      <c r="L916" s="38">
        <v>282230.33</v>
      </c>
      <c r="M916" s="38">
        <v>0</v>
      </c>
      <c r="N916" s="38">
        <v>110702.86</v>
      </c>
      <c r="O916" s="38">
        <v>128666.05</v>
      </c>
      <c r="P916" s="38">
        <v>0</v>
      </c>
      <c r="Q916" s="39">
        <f>SUM(H916:P916)</f>
        <v>947636.49000000011</v>
      </c>
      <c r="R916" s="39">
        <v>251066.62</v>
      </c>
      <c r="S916" s="259">
        <v>148766.53</v>
      </c>
      <c r="T916" s="39">
        <v>0</v>
      </c>
      <c r="U916" s="39">
        <v>0</v>
      </c>
      <c r="V916" s="39">
        <v>0</v>
      </c>
      <c r="W916" s="83">
        <f>Q916+G916+R916+S916+T916+U916+V916</f>
        <v>1888726.8</v>
      </c>
      <c r="X916" s="41"/>
    </row>
    <row r="917" spans="1:24" ht="12.75" x14ac:dyDescent="0.2">
      <c r="A917" s="82" t="s">
        <v>42</v>
      </c>
      <c r="B917" s="141">
        <f t="shared" ref="B917:W917" si="249">B914+B916-B868</f>
        <v>1091.6200000000258</v>
      </c>
      <c r="C917" s="141">
        <f t="shared" si="249"/>
        <v>1714562.5099999995</v>
      </c>
      <c r="D917" s="141">
        <f t="shared" si="249"/>
        <v>2862051.08</v>
      </c>
      <c r="E917" s="141">
        <f t="shared" si="249"/>
        <v>1.1641532182693481E-10</v>
      </c>
      <c r="F917" s="141">
        <f t="shared" si="249"/>
        <v>1359649.1499999992</v>
      </c>
      <c r="G917" s="39">
        <f t="shared" si="249"/>
        <v>5937354.3600000022</v>
      </c>
      <c r="H917" s="141">
        <f t="shared" si="249"/>
        <v>1643539.0900000012</v>
      </c>
      <c r="I917" s="141">
        <f t="shared" si="249"/>
        <v>1291708.5200000009</v>
      </c>
      <c r="J917" s="141">
        <f t="shared" si="249"/>
        <v>1607656.7300000002</v>
      </c>
      <c r="K917" s="141">
        <f t="shared" si="249"/>
        <v>1599962.45</v>
      </c>
      <c r="L917" s="141">
        <f t="shared" si="249"/>
        <v>1399222.5800000008</v>
      </c>
      <c r="M917" s="141">
        <f t="shared" si="249"/>
        <v>230029.41000000047</v>
      </c>
      <c r="N917" s="141">
        <f t="shared" si="249"/>
        <v>1009732.8999999998</v>
      </c>
      <c r="O917" s="141">
        <f t="shared" si="249"/>
        <v>1149526.8999999994</v>
      </c>
      <c r="P917" s="141">
        <f t="shared" si="249"/>
        <v>467312.96000000008</v>
      </c>
      <c r="Q917" s="39">
        <f t="shared" si="249"/>
        <v>10398691.53999999</v>
      </c>
      <c r="R917" s="39">
        <f t="shared" si="249"/>
        <v>1376765.3400000029</v>
      </c>
      <c r="S917" s="39">
        <f t="shared" si="249"/>
        <v>763993.67000000062</v>
      </c>
      <c r="T917" s="39">
        <f t="shared" si="249"/>
        <v>3.092281986027956E-11</v>
      </c>
      <c r="U917" s="39">
        <f t="shared" si="249"/>
        <v>1.0368239600211382E-10</v>
      </c>
      <c r="V917" s="39">
        <f t="shared" si="249"/>
        <v>99003.490000000034</v>
      </c>
      <c r="W917" s="140">
        <f t="shared" si="249"/>
        <v>18575808.400000006</v>
      </c>
      <c r="X917" s="41">
        <f>W916+X914</f>
        <v>474392881.8484053</v>
      </c>
    </row>
    <row r="918" spans="1:24" ht="12.75" x14ac:dyDescent="0.2">
      <c r="A918" s="85"/>
      <c r="B918" s="44"/>
      <c r="C918" s="44"/>
      <c r="D918" s="44"/>
      <c r="E918" s="44"/>
      <c r="F918" s="44"/>
      <c r="G918" s="45"/>
      <c r="H918" s="44"/>
      <c r="I918" s="44"/>
      <c r="J918" s="44"/>
      <c r="K918" s="44"/>
      <c r="L918" s="44"/>
      <c r="M918" s="44"/>
      <c r="N918" s="44"/>
      <c r="O918" s="44"/>
      <c r="P918" s="44"/>
      <c r="Q918" s="45"/>
      <c r="R918" s="47"/>
      <c r="S918" s="47"/>
      <c r="T918" s="47"/>
      <c r="U918" s="47"/>
      <c r="V918" s="43"/>
      <c r="W918" s="86"/>
      <c r="X918" s="46"/>
    </row>
    <row r="919" spans="1:24" ht="12.75" x14ac:dyDescent="0.2">
      <c r="A919" s="82" t="s">
        <v>52</v>
      </c>
      <c r="B919" s="38">
        <v>0</v>
      </c>
      <c r="C919" s="38">
        <v>159402.59</v>
      </c>
      <c r="D919" s="38">
        <v>240053.02</v>
      </c>
      <c r="E919" s="38">
        <v>0</v>
      </c>
      <c r="F919" s="38">
        <v>53428.12</v>
      </c>
      <c r="G919" s="39">
        <f>SUM(B919:F919)</f>
        <v>452883.73</v>
      </c>
      <c r="H919" s="38">
        <v>25776.04</v>
      </c>
      <c r="I919" s="38">
        <v>0</v>
      </c>
      <c r="J919" s="38">
        <v>144687.63</v>
      </c>
      <c r="K919" s="38">
        <v>138767.07999999999</v>
      </c>
      <c r="L919" s="38">
        <v>4886.0200000000004</v>
      </c>
      <c r="M919" s="38">
        <v>0</v>
      </c>
      <c r="N919" s="38">
        <v>121288.61</v>
      </c>
      <c r="O919" s="38">
        <v>30412.89</v>
      </c>
      <c r="P919" s="38">
        <v>0</v>
      </c>
      <c r="Q919" s="39">
        <f>SUM(H919:P919)</f>
        <v>465818.27</v>
      </c>
      <c r="R919" s="39">
        <v>0</v>
      </c>
      <c r="S919" s="259">
        <v>3527.56</v>
      </c>
      <c r="T919" s="39">
        <v>0</v>
      </c>
      <c r="U919" s="39">
        <v>0</v>
      </c>
      <c r="V919" s="39">
        <v>0</v>
      </c>
      <c r="W919" s="83">
        <f>Q919+G919+R919+S919+T919+U919+V919</f>
        <v>922229.56</v>
      </c>
      <c r="X919" s="41"/>
    </row>
    <row r="920" spans="1:24" ht="12.75" x14ac:dyDescent="0.2">
      <c r="A920" s="82" t="s">
        <v>42</v>
      </c>
      <c r="B920" s="141">
        <f t="shared" ref="B920:W920" si="250">B917+B919-B871</f>
        <v>1091.6200000000258</v>
      </c>
      <c r="C920" s="141">
        <f t="shared" si="250"/>
        <v>1764589.6899999997</v>
      </c>
      <c r="D920" s="141">
        <f t="shared" si="250"/>
        <v>2856912.65</v>
      </c>
      <c r="E920" s="141">
        <f t="shared" si="250"/>
        <v>1.1641532182693481E-10</v>
      </c>
      <c r="F920" s="141">
        <f t="shared" si="250"/>
        <v>1235927.4199999992</v>
      </c>
      <c r="G920" s="39">
        <f t="shared" si="250"/>
        <v>5858521.3800000018</v>
      </c>
      <c r="H920" s="141">
        <f t="shared" si="250"/>
        <v>1637310.8100000012</v>
      </c>
      <c r="I920" s="141">
        <f t="shared" si="250"/>
        <v>1291708.5200000009</v>
      </c>
      <c r="J920" s="141">
        <f t="shared" si="250"/>
        <v>1619973.3500000003</v>
      </c>
      <c r="K920" s="141">
        <f t="shared" si="250"/>
        <v>1612451.27</v>
      </c>
      <c r="L920" s="141">
        <f t="shared" si="250"/>
        <v>1404108.6000000008</v>
      </c>
      <c r="M920" s="141">
        <f t="shared" si="250"/>
        <v>229702.72000000047</v>
      </c>
      <c r="N920" s="141">
        <f t="shared" si="250"/>
        <v>997649.84999999974</v>
      </c>
      <c r="O920" s="141">
        <f t="shared" si="250"/>
        <v>1123019.1299999994</v>
      </c>
      <c r="P920" s="141">
        <f t="shared" si="250"/>
        <v>467312.96000000008</v>
      </c>
      <c r="Q920" s="39">
        <f t="shared" si="250"/>
        <v>10383237.20999999</v>
      </c>
      <c r="R920" s="39">
        <f t="shared" si="250"/>
        <v>1376765.3400000029</v>
      </c>
      <c r="S920" s="39">
        <f t="shared" si="250"/>
        <v>533611.68000000063</v>
      </c>
      <c r="T920" s="39">
        <f t="shared" si="250"/>
        <v>3.092281986027956E-11</v>
      </c>
      <c r="U920" s="39">
        <f t="shared" si="250"/>
        <v>1.0368239600211382E-10</v>
      </c>
      <c r="V920" s="39">
        <f t="shared" si="250"/>
        <v>99003.490000000034</v>
      </c>
      <c r="W920" s="140">
        <f t="shared" si="250"/>
        <v>18251139.100000005</v>
      </c>
      <c r="X920" s="41">
        <f>W919+X917</f>
        <v>475315111.4084053</v>
      </c>
    </row>
    <row r="921" spans="1:24" ht="12.75" x14ac:dyDescent="0.2">
      <c r="A921" s="85"/>
      <c r="B921" s="43"/>
      <c r="C921" s="43"/>
      <c r="D921" s="43"/>
      <c r="E921" s="43"/>
      <c r="F921" s="43"/>
      <c r="G921" s="47"/>
      <c r="H921" s="43"/>
      <c r="I921" s="43"/>
      <c r="J921" s="43"/>
      <c r="K921" s="43"/>
      <c r="L921" s="43"/>
      <c r="M921" s="43"/>
      <c r="N921" s="43"/>
      <c r="O921" s="43"/>
      <c r="P921" s="43"/>
      <c r="Q921" s="47"/>
      <c r="R921" s="47"/>
      <c r="S921" s="47"/>
      <c r="T921" s="47"/>
      <c r="U921" s="47"/>
      <c r="V921" s="43"/>
      <c r="W921" s="87"/>
      <c r="X921" s="46"/>
    </row>
    <row r="922" spans="1:24" ht="12.75" x14ac:dyDescent="0.2">
      <c r="A922" s="82" t="s">
        <v>53</v>
      </c>
      <c r="B922" s="38">
        <v>0</v>
      </c>
      <c r="C922" s="38">
        <v>140632.07999999999</v>
      </c>
      <c r="D922" s="38">
        <v>190001.63</v>
      </c>
      <c r="E922" s="38">
        <v>0</v>
      </c>
      <c r="F922" s="38">
        <v>17055.63</v>
      </c>
      <c r="G922" s="39">
        <f>SUM(B922:F922)</f>
        <v>347689.33999999997</v>
      </c>
      <c r="H922" s="38">
        <v>0</v>
      </c>
      <c r="I922" s="38">
        <v>0</v>
      </c>
      <c r="J922" s="38">
        <v>131565.45000000001</v>
      </c>
      <c r="K922" s="38">
        <v>128251.64</v>
      </c>
      <c r="L922" s="38">
        <v>0</v>
      </c>
      <c r="M922" s="38">
        <v>0</v>
      </c>
      <c r="N922" s="38">
        <v>66664.83</v>
      </c>
      <c r="O922" s="38">
        <v>254426.49</v>
      </c>
      <c r="P922" s="38">
        <v>0</v>
      </c>
      <c r="Q922" s="39">
        <f>SUM(H922:P922)</f>
        <v>580908.41</v>
      </c>
      <c r="R922" s="39">
        <v>0</v>
      </c>
      <c r="S922" s="39">
        <v>0</v>
      </c>
      <c r="T922" s="39">
        <v>0</v>
      </c>
      <c r="U922" s="39">
        <v>0</v>
      </c>
      <c r="V922" s="39">
        <v>0</v>
      </c>
      <c r="W922" s="83">
        <f>Q922+G922+R922+S922+T922+U922+V922</f>
        <v>928597.75</v>
      </c>
      <c r="X922" s="41"/>
    </row>
    <row r="923" spans="1:24" ht="13.5" thickBot="1" x14ac:dyDescent="0.25">
      <c r="A923" s="88" t="s">
        <v>42</v>
      </c>
      <c r="B923" s="143">
        <f t="shared" ref="B923:V923" si="251">B920+B922-B874</f>
        <v>545.96000000002584</v>
      </c>
      <c r="C923" s="143">
        <f t="shared" si="251"/>
        <v>1806213.8399999999</v>
      </c>
      <c r="D923" s="143">
        <f t="shared" si="251"/>
        <v>2790178.51</v>
      </c>
      <c r="E923" s="143">
        <f t="shared" si="251"/>
        <v>1.1641532182693481E-10</v>
      </c>
      <c r="F923" s="143">
        <f t="shared" si="251"/>
        <v>1180114.5899999992</v>
      </c>
      <c r="G923" s="50">
        <f t="shared" si="251"/>
        <v>5777052.9000000013</v>
      </c>
      <c r="H923" s="143">
        <f t="shared" si="251"/>
        <v>1637310.8100000012</v>
      </c>
      <c r="I923" s="143">
        <f t="shared" si="251"/>
        <v>1291708.5200000009</v>
      </c>
      <c r="J923" s="143">
        <f t="shared" si="251"/>
        <v>1628596.0300000003</v>
      </c>
      <c r="K923" s="143">
        <f t="shared" si="251"/>
        <v>1621154.7</v>
      </c>
      <c r="L923" s="198">
        <f t="shared" si="251"/>
        <v>1404108.6000000008</v>
      </c>
      <c r="M923" s="143">
        <f t="shared" si="251"/>
        <v>229702.72000000047</v>
      </c>
      <c r="N923" s="143">
        <f t="shared" si="251"/>
        <v>952843.9299999997</v>
      </c>
      <c r="O923" s="143">
        <f t="shared" si="251"/>
        <v>1132154.8999999994</v>
      </c>
      <c r="P923" s="143">
        <f t="shared" si="251"/>
        <v>467312.96000000008</v>
      </c>
      <c r="Q923" s="50">
        <f t="shared" si="251"/>
        <v>10364893.169999991</v>
      </c>
      <c r="R923" s="50">
        <f t="shared" si="251"/>
        <v>1376765.3400000029</v>
      </c>
      <c r="S923" s="50">
        <f t="shared" si="251"/>
        <v>464514.18000000063</v>
      </c>
      <c r="T923" s="50">
        <f t="shared" si="251"/>
        <v>3.092281986027956E-11</v>
      </c>
      <c r="U923" s="50">
        <f t="shared" si="251"/>
        <v>1.0368239600211382E-10</v>
      </c>
      <c r="V923" s="50">
        <f t="shared" si="251"/>
        <v>0</v>
      </c>
      <c r="W923" s="144">
        <f>W920+W922-W874</f>
        <v>17983225.590000004</v>
      </c>
      <c r="X923" s="51">
        <f>W922+X920</f>
        <v>476243709.1584053</v>
      </c>
    </row>
    <row r="924" spans="1:24" ht="12.75" x14ac:dyDescent="0.2">
      <c r="A924" s="92"/>
      <c r="B924" s="52" t="s">
        <v>131</v>
      </c>
      <c r="C924" s="90"/>
      <c r="D924" s="90"/>
      <c r="E924" s="90"/>
      <c r="F924" s="90"/>
      <c r="G924" s="90"/>
      <c r="I924" s="90"/>
      <c r="J924" s="90"/>
      <c r="K924" s="90"/>
      <c r="L924" s="90"/>
      <c r="M924" s="90"/>
      <c r="N924" s="90"/>
      <c r="O924" s="171"/>
      <c r="P924" s="90"/>
      <c r="Q924" s="52" t="s">
        <v>222</v>
      </c>
      <c r="S924" s="52"/>
      <c r="T924" s="52"/>
      <c r="U924" s="52"/>
      <c r="V924" s="52"/>
      <c r="W924" s="90"/>
      <c r="X924" s="91"/>
    </row>
    <row r="925" spans="1:24" ht="12.75" x14ac:dyDescent="0.2">
      <c r="B925" s="260" t="s">
        <v>203</v>
      </c>
      <c r="E925" s="137" t="s">
        <v>223</v>
      </c>
      <c r="P925" t="s">
        <v>122</v>
      </c>
      <c r="W925" s="220">
        <f>G923+Q923+R923+S923+T923</f>
        <v>17983225.589999996</v>
      </c>
      <c r="X925" s="9"/>
    </row>
    <row r="928" spans="1:24" ht="27" x14ac:dyDescent="0.35">
      <c r="A928" s="133" t="s">
        <v>206</v>
      </c>
      <c r="B928" s="54"/>
      <c r="C928" s="122"/>
      <c r="D928" s="58"/>
      <c r="E928" s="127"/>
      <c r="F928" s="128"/>
      <c r="G928" s="127"/>
      <c r="H928" s="129"/>
      <c r="I928" s="130"/>
      <c r="J928" s="130"/>
      <c r="K928" s="130"/>
      <c r="L928" s="130"/>
      <c r="M928" s="130"/>
      <c r="N928" s="130"/>
      <c r="O928" s="130"/>
      <c r="P928" s="130"/>
      <c r="Q928" s="130"/>
      <c r="R928" s="128"/>
      <c r="S928" s="128"/>
      <c r="T928" s="128"/>
      <c r="U928" s="128"/>
      <c r="V928" s="128"/>
      <c r="W928" s="130"/>
      <c r="X928" s="131"/>
    </row>
    <row r="929" spans="1:28" ht="15.75" x14ac:dyDescent="0.25">
      <c r="A929" s="136"/>
      <c r="B929" s="170"/>
      <c r="C929" s="54"/>
      <c r="D929" s="53"/>
      <c r="E929" s="53"/>
      <c r="F929" s="132"/>
      <c r="H929" s="55"/>
      <c r="I929" s="55"/>
      <c r="J929" s="54"/>
      <c r="K929" s="56"/>
      <c r="L929" s="57"/>
      <c r="M929" s="54"/>
      <c r="N929" s="54" t="s">
        <v>60</v>
      </c>
      <c r="O929" s="54"/>
      <c r="P929" s="54"/>
      <c r="Q929" s="57"/>
      <c r="R929" s="58"/>
      <c r="S929" s="58"/>
      <c r="T929" s="58"/>
      <c r="U929" s="58"/>
      <c r="V929" s="58"/>
      <c r="W929" s="54"/>
      <c r="X929" s="54"/>
    </row>
    <row r="930" spans="1:28" ht="27" x14ac:dyDescent="0.35">
      <c r="A930" s="134" t="s">
        <v>6</v>
      </c>
      <c r="B930" s="122"/>
      <c r="C930" s="122"/>
      <c r="D930" s="122"/>
      <c r="E930" s="122"/>
      <c r="F930" s="122"/>
      <c r="H930" s="122"/>
      <c r="I930" s="122"/>
      <c r="J930" s="122"/>
      <c r="K930" s="122"/>
      <c r="L930" s="122"/>
      <c r="M930" s="122"/>
      <c r="N930" s="122"/>
      <c r="O930" s="122"/>
      <c r="P930" s="122"/>
      <c r="Q930" s="122"/>
      <c r="R930" s="122"/>
      <c r="S930" s="122"/>
      <c r="T930" s="122"/>
      <c r="U930" s="122"/>
      <c r="V930" s="122"/>
      <c r="W930" s="142"/>
      <c r="X930" s="122"/>
    </row>
    <row r="931" spans="1:28" ht="12" thickBot="1" x14ac:dyDescent="0.25">
      <c r="B931" s="2"/>
      <c r="C931" s="2"/>
      <c r="D931" s="2"/>
      <c r="E931" s="2"/>
      <c r="F931" s="59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 t="s">
        <v>60</v>
      </c>
      <c r="W931" s="2"/>
      <c r="X931" s="57"/>
    </row>
    <row r="932" spans="1:28" x14ac:dyDescent="0.2">
      <c r="A932" s="14"/>
      <c r="B932" s="15"/>
      <c r="C932" s="15"/>
      <c r="D932" s="15"/>
      <c r="E932" s="15"/>
      <c r="F932" s="15"/>
      <c r="G932" s="15"/>
      <c r="H932" s="15"/>
      <c r="I932" s="15"/>
      <c r="J932" s="15"/>
      <c r="K932" s="15"/>
      <c r="L932" s="15"/>
      <c r="M932" s="15"/>
      <c r="N932" s="15"/>
      <c r="O932" s="15"/>
      <c r="P932" s="15"/>
      <c r="Q932" s="15"/>
      <c r="R932" s="16"/>
      <c r="S932" s="16"/>
      <c r="T932" s="16"/>
      <c r="U932" s="16"/>
      <c r="V932" s="16"/>
      <c r="W932" s="15"/>
      <c r="X932" s="60" t="s">
        <v>60</v>
      </c>
    </row>
    <row r="933" spans="1:28" ht="13.5" thickBot="1" x14ac:dyDescent="0.25">
      <c r="A933" s="18"/>
      <c r="B933" s="61"/>
      <c r="C933" s="62"/>
      <c r="D933" s="63" t="s">
        <v>73</v>
      </c>
      <c r="E933" s="64"/>
      <c r="F933" s="64"/>
      <c r="G933" s="64"/>
      <c r="H933" s="61"/>
      <c r="I933" s="64"/>
      <c r="J933" s="64"/>
      <c r="K933" s="65" t="s">
        <v>74</v>
      </c>
      <c r="L933" s="64"/>
      <c r="M933" s="64"/>
      <c r="N933" s="64"/>
      <c r="O933" s="64"/>
      <c r="P933" s="64"/>
      <c r="Q933" s="138"/>
      <c r="R933" s="64"/>
      <c r="S933" s="64"/>
      <c r="T933" s="64"/>
      <c r="U933" s="64"/>
      <c r="V933" s="64"/>
      <c r="W933" s="66"/>
      <c r="X933" s="36" t="s">
        <v>60</v>
      </c>
    </row>
    <row r="934" spans="1:28" ht="12" x14ac:dyDescent="0.2">
      <c r="A934" s="67"/>
      <c r="B934" s="68" t="s">
        <v>11</v>
      </c>
      <c r="C934" s="68" t="s">
        <v>12</v>
      </c>
      <c r="D934" s="68" t="s">
        <v>13</v>
      </c>
      <c r="E934" s="68" t="s">
        <v>14</v>
      </c>
      <c r="F934" s="68" t="s">
        <v>15</v>
      </c>
      <c r="G934" s="69" t="s">
        <v>16</v>
      </c>
      <c r="H934" s="68" t="s">
        <v>17</v>
      </c>
      <c r="I934" s="70"/>
      <c r="J934" s="70"/>
      <c r="K934" s="70"/>
      <c r="L934" s="70"/>
      <c r="M934" s="68" t="s">
        <v>18</v>
      </c>
      <c r="N934" s="68" t="s">
        <v>19</v>
      </c>
      <c r="O934" s="68" t="s">
        <v>20</v>
      </c>
      <c r="P934" s="68" t="s">
        <v>21</v>
      </c>
      <c r="Q934" s="69" t="s">
        <v>16</v>
      </c>
      <c r="R934" s="203" t="s">
        <v>69</v>
      </c>
      <c r="S934" s="202" t="s">
        <v>126</v>
      </c>
      <c r="T934" s="202" t="s">
        <v>138</v>
      </c>
      <c r="U934" s="202" t="s">
        <v>134</v>
      </c>
      <c r="V934" s="202" t="s">
        <v>136</v>
      </c>
      <c r="W934" s="72" t="s">
        <v>7</v>
      </c>
      <c r="X934" s="73" t="s">
        <v>70</v>
      </c>
    </row>
    <row r="935" spans="1:28" ht="12.75" thickBot="1" x14ac:dyDescent="0.25">
      <c r="A935" s="75"/>
      <c r="B935" s="76" t="s">
        <v>23</v>
      </c>
      <c r="C935" s="76" t="s">
        <v>24</v>
      </c>
      <c r="D935" s="76" t="s">
        <v>25</v>
      </c>
      <c r="E935" s="76" t="s">
        <v>26</v>
      </c>
      <c r="F935" s="76" t="s">
        <v>27</v>
      </c>
      <c r="G935" s="77" t="s">
        <v>28</v>
      </c>
      <c r="H935" s="76" t="s">
        <v>29</v>
      </c>
      <c r="I935" s="76" t="s">
        <v>30</v>
      </c>
      <c r="J935" s="76" t="s">
        <v>31</v>
      </c>
      <c r="K935" s="76" t="s">
        <v>32</v>
      </c>
      <c r="L935" s="76" t="s">
        <v>33</v>
      </c>
      <c r="M935" s="76" t="s">
        <v>34</v>
      </c>
      <c r="N935" s="76" t="s">
        <v>35</v>
      </c>
      <c r="O935" s="76" t="s">
        <v>36</v>
      </c>
      <c r="P935" s="76" t="s">
        <v>37</v>
      </c>
      <c r="Q935" s="77" t="s">
        <v>28</v>
      </c>
      <c r="R935" s="204" t="s">
        <v>82</v>
      </c>
      <c r="S935" s="78" t="s">
        <v>130</v>
      </c>
      <c r="T935" s="78" t="s">
        <v>139</v>
      </c>
      <c r="U935" s="78" t="s">
        <v>135</v>
      </c>
      <c r="V935" s="78" t="s">
        <v>189</v>
      </c>
      <c r="W935" s="79" t="s">
        <v>10</v>
      </c>
      <c r="X935" s="80" t="s">
        <v>71</v>
      </c>
    </row>
    <row r="936" spans="1:28" x14ac:dyDescent="0.2">
      <c r="A936" s="18"/>
      <c r="B936" s="33"/>
      <c r="C936" s="33"/>
      <c r="D936" s="33"/>
      <c r="E936" s="33"/>
      <c r="F936" s="33"/>
      <c r="G936" s="34"/>
      <c r="H936" s="33"/>
      <c r="I936" s="33"/>
      <c r="J936" s="33"/>
      <c r="K936" s="33"/>
      <c r="L936" s="33"/>
      <c r="M936" s="33"/>
      <c r="N936" s="33"/>
      <c r="O936" s="33"/>
      <c r="P936" s="33"/>
      <c r="Q936" s="34"/>
      <c r="R936" s="205"/>
      <c r="S936" s="214"/>
      <c r="T936" s="214"/>
      <c r="U936" s="214"/>
      <c r="V936" s="35"/>
      <c r="W936" s="81"/>
      <c r="X936" s="36"/>
    </row>
    <row r="937" spans="1:28" ht="12.75" x14ac:dyDescent="0.2">
      <c r="A937" s="82" t="s">
        <v>41</v>
      </c>
      <c r="B937" s="38">
        <v>0</v>
      </c>
      <c r="C937" s="38">
        <v>94904.17</v>
      </c>
      <c r="D937" s="38">
        <v>282287.76</v>
      </c>
      <c r="E937" s="38">
        <v>158518.04999999999</v>
      </c>
      <c r="F937" s="38">
        <v>21140.99</v>
      </c>
      <c r="G937" s="39">
        <f>SUM(B937:F937)</f>
        <v>556850.97</v>
      </c>
      <c r="H937" s="38">
        <v>0</v>
      </c>
      <c r="I937" s="38">
        <v>0</v>
      </c>
      <c r="J937" s="38">
        <v>92769.51</v>
      </c>
      <c r="K937" s="38">
        <v>85048.11</v>
      </c>
      <c r="L937" s="38">
        <v>0</v>
      </c>
      <c r="M937" s="38">
        <v>0</v>
      </c>
      <c r="N937" s="38">
        <v>64603.22</v>
      </c>
      <c r="O937" s="38">
        <v>173187.28</v>
      </c>
      <c r="P937" s="38">
        <v>0</v>
      </c>
      <c r="Q937" s="39">
        <f>SUM(H937:P937)</f>
        <v>415608.12</v>
      </c>
      <c r="R937" s="39">
        <v>0</v>
      </c>
      <c r="S937" s="39">
        <v>0</v>
      </c>
      <c r="T937" s="39">
        <v>0</v>
      </c>
      <c r="U937" s="39">
        <v>0</v>
      </c>
      <c r="V937" s="39">
        <v>0</v>
      </c>
      <c r="W937" s="83">
        <f>Q937+G937+R937+S937+T937+U937+V937</f>
        <v>972459.09</v>
      </c>
      <c r="X937" s="41"/>
      <c r="Z937" s="220">
        <f>I937+J937+K937+O937</f>
        <v>351004.9</v>
      </c>
    </row>
    <row r="938" spans="1:28" ht="12.75" x14ac:dyDescent="0.2">
      <c r="A938" s="82" t="s">
        <v>42</v>
      </c>
      <c r="B938" s="141">
        <f t="shared" ref="B938:W938" si="252">B923+B937-B889</f>
        <v>272.98000000002583</v>
      </c>
      <c r="C938" s="141">
        <f t="shared" si="252"/>
        <v>1779439.9299999997</v>
      </c>
      <c r="D938" s="141">
        <f t="shared" si="252"/>
        <v>2812775.7299999995</v>
      </c>
      <c r="E938" s="141">
        <f t="shared" si="252"/>
        <v>158518.0500000001</v>
      </c>
      <c r="F938" s="141">
        <f t="shared" si="252"/>
        <v>1156697.0499999991</v>
      </c>
      <c r="G938" s="172">
        <f t="shared" si="252"/>
        <v>5907703.7400000012</v>
      </c>
      <c r="H938" s="141">
        <f t="shared" si="252"/>
        <v>1637310.8100000012</v>
      </c>
      <c r="I938" s="141">
        <f t="shared" si="252"/>
        <v>1291708.5200000009</v>
      </c>
      <c r="J938" s="141">
        <f t="shared" si="252"/>
        <v>1585682.3400000003</v>
      </c>
      <c r="K938" s="141">
        <f t="shared" si="252"/>
        <v>1576009.05</v>
      </c>
      <c r="L938" s="141">
        <f t="shared" si="252"/>
        <v>1255882.1900000009</v>
      </c>
      <c r="M938" s="141">
        <f t="shared" si="252"/>
        <v>229702.72000000047</v>
      </c>
      <c r="N938" s="141">
        <f t="shared" si="252"/>
        <v>911832.50999999966</v>
      </c>
      <c r="O938" s="141">
        <f t="shared" si="252"/>
        <v>1305342.1799999995</v>
      </c>
      <c r="P938" s="141">
        <f t="shared" si="252"/>
        <v>467312.96000000008</v>
      </c>
      <c r="Q938" s="39">
        <f t="shared" si="252"/>
        <v>10260783.27999999</v>
      </c>
      <c r="R938" s="172">
        <f t="shared" si="252"/>
        <v>1376765.3400000029</v>
      </c>
      <c r="S938" s="172">
        <f t="shared" si="252"/>
        <v>464514.18000000063</v>
      </c>
      <c r="T938" s="172">
        <f t="shared" si="252"/>
        <v>3.092281986027956E-11</v>
      </c>
      <c r="U938" s="172">
        <f t="shared" si="252"/>
        <v>1.0368239600211382E-10</v>
      </c>
      <c r="V938" s="172">
        <f t="shared" si="252"/>
        <v>0</v>
      </c>
      <c r="W938" s="83">
        <f t="shared" si="252"/>
        <v>18009766.540000003</v>
      </c>
      <c r="X938" s="41">
        <f>X923+W937</f>
        <v>477216168.24840528</v>
      </c>
    </row>
    <row r="939" spans="1:28" ht="12.75" x14ac:dyDescent="0.2">
      <c r="A939" s="85"/>
      <c r="B939" s="38"/>
      <c r="C939" s="38"/>
      <c r="D939" s="38"/>
      <c r="E939" s="38"/>
      <c r="F939" s="38"/>
      <c r="G939" s="39"/>
      <c r="H939" s="38"/>
      <c r="I939" s="38"/>
      <c r="J939" s="38"/>
      <c r="K939" s="38"/>
      <c r="L939" s="38"/>
      <c r="M939" s="38"/>
      <c r="N939" s="38"/>
      <c r="O939" s="38"/>
      <c r="P939" s="38"/>
      <c r="Q939" s="39" t="s">
        <v>60</v>
      </c>
      <c r="R939" s="47"/>
      <c r="S939" s="47"/>
      <c r="T939" s="47"/>
      <c r="U939" s="47"/>
      <c r="V939" s="43"/>
      <c r="W939" s="83"/>
      <c r="X939" s="41"/>
    </row>
    <row r="940" spans="1:28" ht="12.75" x14ac:dyDescent="0.2">
      <c r="A940" s="82" t="s">
        <v>43</v>
      </c>
      <c r="B940" s="38">
        <v>0</v>
      </c>
      <c r="C940" s="38">
        <v>110184.72</v>
      </c>
      <c r="D940" s="38">
        <v>95223.97</v>
      </c>
      <c r="E940" s="38">
        <v>28208.65</v>
      </c>
      <c r="F940" s="38">
        <v>0</v>
      </c>
      <c r="G940" s="39">
        <f>SUM(B940:F940)</f>
        <v>233617.34</v>
      </c>
      <c r="H940" s="38">
        <v>16597.72</v>
      </c>
      <c r="I940" s="38">
        <v>0</v>
      </c>
      <c r="J940" s="38">
        <v>100576.63</v>
      </c>
      <c r="K940" s="38">
        <v>96565.3</v>
      </c>
      <c r="L940" s="38">
        <v>0</v>
      </c>
      <c r="M940" s="38">
        <v>0</v>
      </c>
      <c r="N940" s="277">
        <f>12059.06-2476.58</f>
        <v>9582.48</v>
      </c>
      <c r="O940" s="38">
        <v>222960.55</v>
      </c>
      <c r="P940" s="38">
        <v>0</v>
      </c>
      <c r="Q940" s="39">
        <f>SUM(H940:P940)</f>
        <v>446282.68000000005</v>
      </c>
      <c r="R940" s="39">
        <v>0</v>
      </c>
      <c r="S940" s="39">
        <v>0</v>
      </c>
      <c r="T940" s="39">
        <v>0</v>
      </c>
      <c r="U940" s="39">
        <v>0</v>
      </c>
      <c r="V940" s="39">
        <v>0</v>
      </c>
      <c r="W940" s="83">
        <f>Q940+G940+R940+S940+T940+U940+V940</f>
        <v>679900.02</v>
      </c>
      <c r="X940" s="197" t="s">
        <v>171</v>
      </c>
      <c r="Z940" s="220">
        <f>I940+J940+K940+O940</f>
        <v>420102.48</v>
      </c>
    </row>
    <row r="941" spans="1:28" ht="12.75" x14ac:dyDescent="0.2">
      <c r="A941" s="82" t="s">
        <v>42</v>
      </c>
      <c r="B941" s="141">
        <f t="shared" ref="B941:W941" si="253">B938+B940-B892</f>
        <v>272.98000000002583</v>
      </c>
      <c r="C941" s="141">
        <f t="shared" si="253"/>
        <v>1779072.4499999997</v>
      </c>
      <c r="D941" s="141">
        <f t="shared" si="253"/>
        <v>2752393.8699999996</v>
      </c>
      <c r="E941" s="141">
        <f t="shared" si="253"/>
        <v>186726.7000000001</v>
      </c>
      <c r="F941" s="141">
        <f t="shared" si="253"/>
        <v>1108493.4099999992</v>
      </c>
      <c r="G941" s="39">
        <f t="shared" si="253"/>
        <v>5826959.4100000011</v>
      </c>
      <c r="H941" s="141">
        <f t="shared" si="253"/>
        <v>1653908.5300000012</v>
      </c>
      <c r="I941" s="141">
        <f t="shared" si="253"/>
        <v>1291708.5200000009</v>
      </c>
      <c r="J941" s="141">
        <f t="shared" si="253"/>
        <v>1613790.2500000002</v>
      </c>
      <c r="K941" s="141">
        <f t="shared" si="253"/>
        <v>1581452.48</v>
      </c>
      <c r="L941" s="141">
        <f t="shared" si="253"/>
        <v>1255882.1900000009</v>
      </c>
      <c r="M941" s="141">
        <f t="shared" si="253"/>
        <v>229702.72000000047</v>
      </c>
      <c r="N941" s="141">
        <f t="shared" si="253"/>
        <v>832375.57999999961</v>
      </c>
      <c r="O941" s="141">
        <f t="shared" si="253"/>
        <v>1319702.9599999995</v>
      </c>
      <c r="P941" s="141">
        <f t="shared" si="253"/>
        <v>467312.96000000008</v>
      </c>
      <c r="Q941" s="39">
        <f t="shared" si="253"/>
        <v>10245836.18999999</v>
      </c>
      <c r="R941" s="39">
        <f t="shared" si="253"/>
        <v>1376765.3400000029</v>
      </c>
      <c r="S941" s="39">
        <f t="shared" si="253"/>
        <v>464514.18000000063</v>
      </c>
      <c r="T941" s="39">
        <f t="shared" si="253"/>
        <v>3.092281986027956E-11</v>
      </c>
      <c r="U941" s="39">
        <f t="shared" si="253"/>
        <v>1.0368239600211382E-10</v>
      </c>
      <c r="V941" s="39">
        <f t="shared" si="253"/>
        <v>0</v>
      </c>
      <c r="W941" s="140">
        <f t="shared" si="253"/>
        <v>17914075.120000001</v>
      </c>
      <c r="X941" s="41">
        <f>W940+X938</f>
        <v>477896068.26840526</v>
      </c>
    </row>
    <row r="942" spans="1:28" ht="12.75" x14ac:dyDescent="0.2">
      <c r="A942" s="85"/>
      <c r="B942" s="44"/>
      <c r="C942" s="44"/>
      <c r="D942" s="44"/>
      <c r="E942" s="44"/>
      <c r="F942" s="44"/>
      <c r="G942" s="45"/>
      <c r="H942" s="44"/>
      <c r="I942" s="44"/>
      <c r="J942" s="44"/>
      <c r="K942" s="44"/>
      <c r="L942" s="44"/>
      <c r="M942" s="44"/>
      <c r="N942" s="44"/>
      <c r="O942" s="44"/>
      <c r="P942" s="44"/>
      <c r="Q942" s="45"/>
      <c r="R942" s="47"/>
      <c r="S942" s="47"/>
      <c r="T942" s="47"/>
      <c r="U942" s="47"/>
      <c r="V942" s="43"/>
      <c r="W942" s="86"/>
      <c r="X942" s="46"/>
    </row>
    <row r="943" spans="1:28" ht="12.75" x14ac:dyDescent="0.2">
      <c r="A943" s="82" t="s">
        <v>44</v>
      </c>
      <c r="B943" s="38">
        <v>0</v>
      </c>
      <c r="C943" s="38">
        <v>180281.41</v>
      </c>
      <c r="D943" s="38">
        <v>204440.03</v>
      </c>
      <c r="E943" s="38">
        <v>111565.66</v>
      </c>
      <c r="F943" s="38">
        <v>17637.88</v>
      </c>
      <c r="G943" s="39">
        <f>SUM(B943:F943)</f>
        <v>513924.98</v>
      </c>
      <c r="H943" s="38">
        <v>0</v>
      </c>
      <c r="I943" s="38">
        <v>0</v>
      </c>
      <c r="J943" s="38">
        <v>139075.5</v>
      </c>
      <c r="K943" s="38">
        <v>132715.98000000001</v>
      </c>
      <c r="L943" s="38">
        <v>0</v>
      </c>
      <c r="M943" s="38">
        <v>0</v>
      </c>
      <c r="N943" s="38">
        <v>24112.04</v>
      </c>
      <c r="O943" s="38">
        <v>250235.04</v>
      </c>
      <c r="P943" s="38">
        <v>27914.92</v>
      </c>
      <c r="Q943" s="39">
        <f>SUM(H943:P943)</f>
        <v>574053.48</v>
      </c>
      <c r="R943" s="39">
        <v>0</v>
      </c>
      <c r="S943" s="39">
        <v>0</v>
      </c>
      <c r="T943" s="39">
        <v>0</v>
      </c>
      <c r="U943" s="39">
        <v>0</v>
      </c>
      <c r="V943" s="39">
        <v>0</v>
      </c>
      <c r="W943" s="83">
        <f>Q943+G943+R943+S943+T943+U943+V943</f>
        <v>1087978.46</v>
      </c>
      <c r="X943" s="41"/>
      <c r="Z943" s="220">
        <f>I943+J943+K943+O943</f>
        <v>522026.52</v>
      </c>
    </row>
    <row r="944" spans="1:28" ht="12.75" x14ac:dyDescent="0.2">
      <c r="A944" s="82" t="s">
        <v>42</v>
      </c>
      <c r="B944" s="141">
        <f t="shared" ref="B944:W944" si="254">B941+B943-B895</f>
        <v>2.5806912162806839E-11</v>
      </c>
      <c r="C944" s="141">
        <f t="shared" si="254"/>
        <v>1818661.1799999997</v>
      </c>
      <c r="D944" s="141">
        <f t="shared" si="254"/>
        <v>2745326.8799999994</v>
      </c>
      <c r="E944" s="141">
        <f t="shared" si="254"/>
        <v>298292.3600000001</v>
      </c>
      <c r="F944" s="141">
        <f t="shared" si="254"/>
        <v>1062995.679999999</v>
      </c>
      <c r="G944" s="39">
        <f t="shared" si="254"/>
        <v>5925276.1000000006</v>
      </c>
      <c r="H944" s="141">
        <f t="shared" si="254"/>
        <v>1653908.5300000012</v>
      </c>
      <c r="I944" s="141">
        <f t="shared" si="254"/>
        <v>1291708.5200000009</v>
      </c>
      <c r="J944" s="141">
        <f t="shared" si="254"/>
        <v>1630848.9700000002</v>
      </c>
      <c r="K944" s="141">
        <f t="shared" si="254"/>
        <v>1584489.27</v>
      </c>
      <c r="L944" s="141">
        <f t="shared" si="254"/>
        <v>1255882.1900000009</v>
      </c>
      <c r="M944" s="141">
        <f t="shared" si="254"/>
        <v>229702.72000000047</v>
      </c>
      <c r="N944" s="141">
        <f t="shared" si="254"/>
        <v>741158.68999999971</v>
      </c>
      <c r="O944" s="141">
        <f t="shared" si="254"/>
        <v>1357463.7799999996</v>
      </c>
      <c r="P944" s="141">
        <f t="shared" si="254"/>
        <v>495227.88000000006</v>
      </c>
      <c r="Q944" s="39">
        <f t="shared" si="254"/>
        <v>10240390.549999991</v>
      </c>
      <c r="R944" s="39">
        <f t="shared" si="254"/>
        <v>1376765.3400000029</v>
      </c>
      <c r="S944" s="39">
        <f t="shared" si="254"/>
        <v>462979.42000000062</v>
      </c>
      <c r="T944" s="39">
        <f t="shared" si="254"/>
        <v>3.092281986027956E-11</v>
      </c>
      <c r="U944" s="39">
        <f t="shared" si="254"/>
        <v>1.0368239600211382E-10</v>
      </c>
      <c r="V944" s="226">
        <f t="shared" si="254"/>
        <v>0</v>
      </c>
      <c r="W944" s="83">
        <f t="shared" si="254"/>
        <v>18005411.410000004</v>
      </c>
      <c r="X944" s="41">
        <f>W943+X941</f>
        <v>478984046.72840524</v>
      </c>
      <c r="AA944" s="1" t="s">
        <v>210</v>
      </c>
      <c r="AB944" s="1" t="s">
        <v>211</v>
      </c>
    </row>
    <row r="945" spans="1:29" ht="12.75" x14ac:dyDescent="0.2">
      <c r="A945" s="85"/>
      <c r="B945" s="43"/>
      <c r="C945" s="43"/>
      <c r="D945" s="43"/>
      <c r="E945" s="43"/>
      <c r="F945" s="43"/>
      <c r="G945" s="47"/>
      <c r="H945" s="43"/>
      <c r="I945" s="43"/>
      <c r="J945" s="43"/>
      <c r="K945" s="43"/>
      <c r="L945" s="43"/>
      <c r="M945" s="43"/>
      <c r="N945" s="43"/>
      <c r="O945" s="43"/>
      <c r="P945" s="43"/>
      <c r="Q945" s="47"/>
      <c r="R945" s="47"/>
      <c r="S945" s="47"/>
      <c r="T945" s="47"/>
      <c r="U945" s="47"/>
      <c r="V945" s="43"/>
      <c r="W945" s="87"/>
      <c r="X945" s="46"/>
    </row>
    <row r="946" spans="1:29" ht="12.75" x14ac:dyDescent="0.2">
      <c r="A946" s="82" t="s">
        <v>45</v>
      </c>
      <c r="B946" s="38">
        <v>272.98</v>
      </c>
      <c r="C946" s="38">
        <v>183477.62</v>
      </c>
      <c r="D946" s="38">
        <v>154708.44</v>
      </c>
      <c r="E946" s="38">
        <v>319625.40000000002</v>
      </c>
      <c r="F946" s="38">
        <v>0</v>
      </c>
      <c r="G946" s="39">
        <f>SUM(B946:F946)</f>
        <v>658084.44000000006</v>
      </c>
      <c r="H946" s="38">
        <v>0</v>
      </c>
      <c r="I946" s="38">
        <v>0</v>
      </c>
      <c r="J946" s="38">
        <v>141405.43</v>
      </c>
      <c r="K946" s="38">
        <v>136568.29</v>
      </c>
      <c r="L946" s="38">
        <v>0</v>
      </c>
      <c r="M946" s="38">
        <v>35624.69</v>
      </c>
      <c r="N946" s="38">
        <v>157602.62</v>
      </c>
      <c r="O946" s="38">
        <v>234517.6</v>
      </c>
      <c r="P946" s="38">
        <v>160626.18</v>
      </c>
      <c r="Q946" s="39">
        <f>SUM(H946:P946)-2476.58*0</f>
        <v>866344.81</v>
      </c>
      <c r="R946" s="39">
        <v>0</v>
      </c>
      <c r="S946" s="263">
        <v>101855.62</v>
      </c>
      <c r="T946" s="39">
        <f>4395.19</f>
        <v>4395.1899999999996</v>
      </c>
      <c r="U946" s="39">
        <v>0</v>
      </c>
      <c r="V946" s="39">
        <v>0</v>
      </c>
      <c r="W946" s="83">
        <f>Q946+G946+R946+S946+T946+U946+V946</f>
        <v>1630680.06</v>
      </c>
      <c r="X946" s="197" t="s">
        <v>171</v>
      </c>
      <c r="Z946" s="220">
        <f>I946+J946+K946+O946</f>
        <v>512491.31999999995</v>
      </c>
      <c r="AA946" s="220">
        <f>J946+K946+O946</f>
        <v>512491.31999999995</v>
      </c>
      <c r="AB946" s="220">
        <f>L946+M946+N946+P946-2476.58</f>
        <v>351376.91</v>
      </c>
      <c r="AC946" s="137" t="s">
        <v>171</v>
      </c>
    </row>
    <row r="947" spans="1:29" ht="12.75" x14ac:dyDescent="0.2">
      <c r="A947" s="82" t="s">
        <v>42</v>
      </c>
      <c r="B947" s="141">
        <f t="shared" ref="B947:W947" si="255">B944+B946-B898</f>
        <v>272.98000000002583</v>
      </c>
      <c r="C947" s="141">
        <f t="shared" si="255"/>
        <v>1857856.7499999998</v>
      </c>
      <c r="D947" s="141">
        <f t="shared" si="255"/>
        <v>2625120.3199999994</v>
      </c>
      <c r="E947" s="141">
        <f t="shared" si="255"/>
        <v>617917.76000000013</v>
      </c>
      <c r="F947" s="141">
        <f t="shared" si="255"/>
        <v>957680.549999999</v>
      </c>
      <c r="G947" s="39">
        <f t="shared" si="255"/>
        <v>6058848.3600000013</v>
      </c>
      <c r="H947" s="141">
        <f t="shared" si="255"/>
        <v>1653908.5300000012</v>
      </c>
      <c r="I947" s="141">
        <f t="shared" si="255"/>
        <v>1291708.5200000009</v>
      </c>
      <c r="J947" s="141">
        <f t="shared" si="255"/>
        <v>1669277.54</v>
      </c>
      <c r="K947" s="141">
        <f t="shared" si="255"/>
        <v>1606008.52</v>
      </c>
      <c r="L947" s="141">
        <f t="shared" si="255"/>
        <v>1255882.1900000009</v>
      </c>
      <c r="M947" s="141">
        <f t="shared" si="255"/>
        <v>265327.4100000005</v>
      </c>
      <c r="N947" s="141">
        <f t="shared" si="255"/>
        <v>776969.99999999977</v>
      </c>
      <c r="O947" s="141">
        <f t="shared" si="255"/>
        <v>1471302.8199999996</v>
      </c>
      <c r="P947" s="141">
        <f t="shared" si="255"/>
        <v>655854.06000000006</v>
      </c>
      <c r="Q947" s="39">
        <f t="shared" si="255"/>
        <v>10646239.589999992</v>
      </c>
      <c r="R947" s="39">
        <f t="shared" si="255"/>
        <v>1376765.3400000029</v>
      </c>
      <c r="S947" s="39">
        <f t="shared" si="255"/>
        <v>494330.2100000006</v>
      </c>
      <c r="T947" s="39">
        <f t="shared" si="255"/>
        <v>4395.1900000000305</v>
      </c>
      <c r="U947" s="39">
        <f t="shared" si="255"/>
        <v>1.0368239600211382E-10</v>
      </c>
      <c r="V947" s="39">
        <f t="shared" si="255"/>
        <v>0</v>
      </c>
      <c r="W947" s="140">
        <f t="shared" si="255"/>
        <v>18580578.690000001</v>
      </c>
      <c r="X947" s="41">
        <f>W946+X944</f>
        <v>480614726.78840524</v>
      </c>
    </row>
    <row r="948" spans="1:29" ht="12.75" x14ac:dyDescent="0.2">
      <c r="A948" s="85"/>
      <c r="B948" s="44"/>
      <c r="C948" s="44"/>
      <c r="D948" s="44"/>
      <c r="E948" s="44"/>
      <c r="F948" s="44"/>
      <c r="G948" s="45"/>
      <c r="H948" s="44"/>
      <c r="I948" s="44"/>
      <c r="J948" s="44"/>
      <c r="K948" s="44"/>
      <c r="L948" s="44"/>
      <c r="M948" s="44"/>
      <c r="N948" s="44"/>
      <c r="O948" s="44"/>
      <c r="P948" s="44"/>
      <c r="Q948" s="45"/>
      <c r="R948" s="47"/>
      <c r="S948" s="47"/>
      <c r="T948" s="47"/>
      <c r="U948" s="47"/>
      <c r="V948" s="43"/>
      <c r="W948" s="86"/>
      <c r="X948" s="46"/>
    </row>
    <row r="949" spans="1:29" ht="12.75" x14ac:dyDescent="0.2">
      <c r="A949" s="82" t="s">
        <v>46</v>
      </c>
      <c r="B949" s="38">
        <v>0</v>
      </c>
      <c r="C949" s="38">
        <v>170535.66</v>
      </c>
      <c r="D949" s="38">
        <v>243230.7</v>
      </c>
      <c r="E949" s="38">
        <v>0</v>
      </c>
      <c r="F949" s="38">
        <v>0</v>
      </c>
      <c r="G949" s="39">
        <f>SUM(B949:F949)</f>
        <v>413766.36</v>
      </c>
      <c r="H949" s="38">
        <v>0</v>
      </c>
      <c r="I949" s="38">
        <v>0</v>
      </c>
      <c r="J949" s="38">
        <v>137487.49</v>
      </c>
      <c r="K949" s="38">
        <v>134682.51</v>
      </c>
      <c r="L949" s="38">
        <v>0</v>
      </c>
      <c r="M949" s="38">
        <v>44443.5</v>
      </c>
      <c r="N949" s="38">
        <v>140112.07999999999</v>
      </c>
      <c r="O949" s="38">
        <v>175639.22</v>
      </c>
      <c r="P949" s="38">
        <v>123834.7</v>
      </c>
      <c r="Q949" s="39">
        <f>SUM(H949:P949)</f>
        <v>756199.49999999988</v>
      </c>
      <c r="R949" s="39">
        <v>85799.66</v>
      </c>
      <c r="S949" s="263">
        <v>24718.07</v>
      </c>
      <c r="T949" s="39">
        <v>0</v>
      </c>
      <c r="U949" s="39">
        <v>0</v>
      </c>
      <c r="V949" s="39">
        <v>0</v>
      </c>
      <c r="W949" s="83">
        <f>Q949+G949+R949+S949+T949+U949+V949</f>
        <v>1280483.5899999999</v>
      </c>
      <c r="X949" s="41"/>
      <c r="Z949" s="220">
        <f>I949+J949+K949+O949</f>
        <v>447809.22</v>
      </c>
    </row>
    <row r="950" spans="1:29" ht="12.75" x14ac:dyDescent="0.2">
      <c r="A950" s="82" t="s">
        <v>42</v>
      </c>
      <c r="B950" s="141">
        <f t="shared" ref="B950:W950" si="256">B947+B949-B901</f>
        <v>272.98000000002583</v>
      </c>
      <c r="C950" s="141">
        <f t="shared" si="256"/>
        <v>1890501.3199999996</v>
      </c>
      <c r="D950" s="141">
        <f t="shared" si="256"/>
        <v>2592112.5999999996</v>
      </c>
      <c r="E950" s="141">
        <f t="shared" si="256"/>
        <v>617917.76000000013</v>
      </c>
      <c r="F950" s="141">
        <f t="shared" si="256"/>
        <v>804001.99999999907</v>
      </c>
      <c r="G950" s="39">
        <f t="shared" si="256"/>
        <v>5904806.660000002</v>
      </c>
      <c r="H950" s="141">
        <f t="shared" si="256"/>
        <v>1653908.5300000012</v>
      </c>
      <c r="I950" s="141">
        <f t="shared" si="256"/>
        <v>1291708.5200000009</v>
      </c>
      <c r="J950" s="141">
        <f t="shared" si="256"/>
        <v>1687447.79</v>
      </c>
      <c r="K950" s="141">
        <f t="shared" si="256"/>
        <v>1622424.8</v>
      </c>
      <c r="L950" s="141">
        <f t="shared" si="256"/>
        <v>1255882.1900000009</v>
      </c>
      <c r="M950" s="141">
        <f t="shared" si="256"/>
        <v>280884.08000000048</v>
      </c>
      <c r="N950" s="141">
        <f t="shared" si="256"/>
        <v>780486.66999999969</v>
      </c>
      <c r="O950" s="141">
        <f t="shared" si="256"/>
        <v>1646942.0399999996</v>
      </c>
      <c r="P950" s="141">
        <f t="shared" si="256"/>
        <v>610542.76</v>
      </c>
      <c r="Q950" s="39">
        <f t="shared" si="256"/>
        <v>10830227.379999992</v>
      </c>
      <c r="R950" s="39">
        <f t="shared" si="256"/>
        <v>1459169.4500000027</v>
      </c>
      <c r="S950" s="39">
        <f t="shared" si="256"/>
        <v>394273.04000000062</v>
      </c>
      <c r="T950" s="39">
        <f t="shared" si="256"/>
        <v>4395.1900000000305</v>
      </c>
      <c r="U950" s="39">
        <f t="shared" si="256"/>
        <v>1.0368239600211382E-10</v>
      </c>
      <c r="V950" s="39">
        <f t="shared" si="256"/>
        <v>0</v>
      </c>
      <c r="W950" s="140">
        <f t="shared" si="256"/>
        <v>18592871.720000003</v>
      </c>
      <c r="X950" s="41">
        <f>W949+X947</f>
        <v>481895210.37840521</v>
      </c>
    </row>
    <row r="951" spans="1:29" ht="12.75" x14ac:dyDescent="0.2">
      <c r="A951" s="85"/>
      <c r="B951" s="44"/>
      <c r="C951" s="44"/>
      <c r="D951" s="44"/>
      <c r="E951" s="44"/>
      <c r="F951" s="44"/>
      <c r="G951" s="45"/>
      <c r="H951" s="44"/>
      <c r="I951" s="44"/>
      <c r="J951" s="44"/>
      <c r="K951" s="44"/>
      <c r="L951" s="44"/>
      <c r="M951" s="44"/>
      <c r="N951" s="44"/>
      <c r="O951" s="44"/>
      <c r="P951" s="44"/>
      <c r="Q951" s="45"/>
      <c r="R951" s="47"/>
      <c r="S951" s="47"/>
      <c r="T951" s="47"/>
      <c r="U951" s="47"/>
      <c r="V951" s="43"/>
      <c r="W951" s="86"/>
      <c r="X951" s="46"/>
    </row>
    <row r="952" spans="1:29" ht="12.75" x14ac:dyDescent="0.2">
      <c r="A952" s="82" t="s">
        <v>47</v>
      </c>
      <c r="B952" s="38">
        <v>272.98</v>
      </c>
      <c r="C952" s="38">
        <v>153591.78</v>
      </c>
      <c r="D952" s="38">
        <v>230626.71</v>
      </c>
      <c r="E952" s="38">
        <v>94216.89</v>
      </c>
      <c r="F952" s="38">
        <v>53051.78</v>
      </c>
      <c r="G952" s="39">
        <f>SUM(B952:F952)</f>
        <v>531760.14</v>
      </c>
      <c r="H952" s="266">
        <v>416632.71</v>
      </c>
      <c r="I952" s="38">
        <v>0</v>
      </c>
      <c r="J952" s="38">
        <v>206837.01</v>
      </c>
      <c r="K952" s="38">
        <v>198007.01</v>
      </c>
      <c r="L952" s="38">
        <v>166063.74</v>
      </c>
      <c r="M952" s="38">
        <v>45374.26</v>
      </c>
      <c r="N952" s="38">
        <v>94573.67</v>
      </c>
      <c r="O952" s="38">
        <v>205471.08</v>
      </c>
      <c r="P952" s="38">
        <v>2163.7399999999998</v>
      </c>
      <c r="Q952" s="39">
        <f>SUM(H952:P952)</f>
        <v>1335123.22</v>
      </c>
      <c r="R952" s="39">
        <v>98848.4</v>
      </c>
      <c r="S952" s="263">
        <v>4814.2299999999996</v>
      </c>
      <c r="T952" s="39">
        <v>0</v>
      </c>
      <c r="U952" s="39">
        <v>0</v>
      </c>
      <c r="V952" s="39">
        <v>0</v>
      </c>
      <c r="W952" s="83">
        <f>Q952+G952+R952+S952+T952+U952+V952</f>
        <v>1970545.9899999998</v>
      </c>
      <c r="X952" s="41"/>
      <c r="Z952" s="220">
        <f>I952+J952+K952+O952</f>
        <v>610315.1</v>
      </c>
    </row>
    <row r="953" spans="1:29" ht="12.75" x14ac:dyDescent="0.2">
      <c r="A953" s="82" t="s">
        <v>42</v>
      </c>
      <c r="B953" s="141">
        <f t="shared" ref="B953:W953" si="257">B950+B952-B904</f>
        <v>545.96000000002584</v>
      </c>
      <c r="C953" s="141">
        <f t="shared" si="257"/>
        <v>1887050.0699999996</v>
      </c>
      <c r="D953" s="141">
        <f t="shared" si="257"/>
        <v>2539767.1499999994</v>
      </c>
      <c r="E953" s="141">
        <f t="shared" si="257"/>
        <v>712134.65000000014</v>
      </c>
      <c r="F953" s="141">
        <f t="shared" si="257"/>
        <v>714715.63999999908</v>
      </c>
      <c r="G953" s="39">
        <f t="shared" si="257"/>
        <v>5854213.4700000016</v>
      </c>
      <c r="H953" s="141">
        <f>H950+H952-H904</f>
        <v>2035715.3600000013</v>
      </c>
      <c r="I953" s="141">
        <f t="shared" si="257"/>
        <v>1245360.830000001</v>
      </c>
      <c r="J953" s="141">
        <f t="shared" si="257"/>
        <v>1779937.07</v>
      </c>
      <c r="K953" s="141">
        <f t="shared" si="257"/>
        <v>1711217.5</v>
      </c>
      <c r="L953" s="141">
        <f t="shared" si="257"/>
        <v>1226871.040000001</v>
      </c>
      <c r="M953" s="141">
        <f t="shared" si="257"/>
        <v>292752.63000000047</v>
      </c>
      <c r="N953" s="141">
        <f t="shared" si="257"/>
        <v>789242.40999999968</v>
      </c>
      <c r="O953" s="141">
        <f t="shared" si="257"/>
        <v>1813111.6899999997</v>
      </c>
      <c r="P953" s="141">
        <f t="shared" si="257"/>
        <v>479773.14</v>
      </c>
      <c r="Q953" s="39">
        <f t="shared" si="257"/>
        <v>11373981.669999992</v>
      </c>
      <c r="R953" s="39">
        <f t="shared" si="257"/>
        <v>1438762.8400000026</v>
      </c>
      <c r="S953" s="39">
        <f t="shared" si="257"/>
        <v>392784.18000000058</v>
      </c>
      <c r="T953" s="39">
        <f t="shared" si="257"/>
        <v>4395.1900000000305</v>
      </c>
      <c r="U953" s="39">
        <f t="shared" si="257"/>
        <v>1.0368239600211382E-10</v>
      </c>
      <c r="V953" s="39">
        <f t="shared" si="257"/>
        <v>0</v>
      </c>
      <c r="W953" s="140">
        <f t="shared" si="257"/>
        <v>19064137.350000001</v>
      </c>
      <c r="X953" s="41">
        <f>W952+X950</f>
        <v>483865756.36840522</v>
      </c>
    </row>
    <row r="954" spans="1:29" ht="12.75" x14ac:dyDescent="0.2">
      <c r="A954" s="85"/>
      <c r="B954" s="43"/>
      <c r="C954" s="43"/>
      <c r="D954" s="43"/>
      <c r="E954" s="43"/>
      <c r="F954" s="43"/>
      <c r="G954" s="47"/>
      <c r="H954" s="43"/>
      <c r="I954" s="43"/>
      <c r="J954" s="43"/>
      <c r="K954" s="43"/>
      <c r="L954" s="43"/>
      <c r="M954" s="43"/>
      <c r="N954" s="43"/>
      <c r="O954" s="43"/>
      <c r="P954" s="43"/>
      <c r="Q954" s="47"/>
      <c r="R954" s="47"/>
      <c r="S954" s="47"/>
      <c r="T954" s="47"/>
      <c r="U954" s="47"/>
      <c r="V954" s="43"/>
      <c r="W954" s="87"/>
      <c r="X954" s="46"/>
    </row>
    <row r="955" spans="1:29" ht="12.75" x14ac:dyDescent="0.2">
      <c r="A955" s="276" t="s">
        <v>48</v>
      </c>
      <c r="B955" s="38">
        <v>5459.52</v>
      </c>
      <c r="C955" s="38">
        <v>160705.04999999999</v>
      </c>
      <c r="D955" s="38">
        <v>267584.84000000003</v>
      </c>
      <c r="E955" s="38">
        <v>147161.19</v>
      </c>
      <c r="F955" s="38">
        <v>113807.56</v>
      </c>
      <c r="G955" s="39">
        <f>SUM(B955:F955)</f>
        <v>694718.16000000015</v>
      </c>
      <c r="H955" s="266">
        <v>87558.25</v>
      </c>
      <c r="I955" s="38">
        <v>152768.73000000001</v>
      </c>
      <c r="J955" s="38">
        <v>229746.41</v>
      </c>
      <c r="K955" s="38">
        <v>216756.94</v>
      </c>
      <c r="L955" s="38">
        <v>194691.58</v>
      </c>
      <c r="M955" s="38">
        <v>37313.230000000003</v>
      </c>
      <c r="N955" s="38">
        <v>54933.98</v>
      </c>
      <c r="O955" s="38">
        <v>258416.11</v>
      </c>
      <c r="P955" s="38">
        <v>105387.9</v>
      </c>
      <c r="Q955" s="39">
        <f>SUM(H955:P955)</f>
        <v>1337573.1299999999</v>
      </c>
      <c r="R955" s="39">
        <v>239662.91</v>
      </c>
      <c r="S955" s="39">
        <v>0</v>
      </c>
      <c r="T955" s="39">
        <v>0</v>
      </c>
      <c r="U955" s="39">
        <v>0</v>
      </c>
      <c r="V955" s="39">
        <v>0</v>
      </c>
      <c r="W955" s="83">
        <f>Q955+G955+R955+S955+T955+U955+V955</f>
        <v>2271954.2000000002</v>
      </c>
      <c r="X955" s="41"/>
      <c r="Z955" s="220">
        <f>I955+J955+K955+O955</f>
        <v>857688.19000000006</v>
      </c>
    </row>
    <row r="956" spans="1:29" ht="12.75" x14ac:dyDescent="0.2">
      <c r="A956" s="82" t="s">
        <v>42</v>
      </c>
      <c r="B956" s="141">
        <f t="shared" ref="B956:W956" si="258">B953+B955-B907</f>
        <v>6005.4800000000259</v>
      </c>
      <c r="C956" s="141">
        <f t="shared" si="258"/>
        <v>1887200.3899999997</v>
      </c>
      <c r="D956" s="141">
        <f t="shared" si="258"/>
        <v>2559379.1799999992</v>
      </c>
      <c r="E956" s="141">
        <f t="shared" si="258"/>
        <v>859295.84000000008</v>
      </c>
      <c r="F956" s="141">
        <f t="shared" si="258"/>
        <v>688353.09999999905</v>
      </c>
      <c r="G956" s="39">
        <f t="shared" si="258"/>
        <v>6000233.9900000021</v>
      </c>
      <c r="H956" s="141">
        <f t="shared" si="258"/>
        <v>1561827.3800000013</v>
      </c>
      <c r="I956" s="141">
        <f t="shared" si="258"/>
        <v>940973.91000000096</v>
      </c>
      <c r="J956" s="141">
        <f t="shared" si="258"/>
        <v>1856295.22</v>
      </c>
      <c r="K956" s="141">
        <f t="shared" si="258"/>
        <v>1758146.7999999998</v>
      </c>
      <c r="L956" s="141">
        <f t="shared" si="258"/>
        <v>1131007.580000001</v>
      </c>
      <c r="M956" s="141">
        <f t="shared" si="258"/>
        <v>265393.79000000044</v>
      </c>
      <c r="N956" s="141">
        <f t="shared" si="258"/>
        <v>844176.38999999966</v>
      </c>
      <c r="O956" s="141">
        <f t="shared" si="258"/>
        <v>2049787.1199999999</v>
      </c>
      <c r="P956" s="141">
        <f t="shared" si="258"/>
        <v>554921.55000000005</v>
      </c>
      <c r="Q956" s="39">
        <f t="shared" si="258"/>
        <v>10962529.739999993</v>
      </c>
      <c r="R956" s="39">
        <f t="shared" si="258"/>
        <v>1302889.5900000026</v>
      </c>
      <c r="S956" s="39">
        <f t="shared" si="258"/>
        <v>283682.01000000059</v>
      </c>
      <c r="T956" s="39">
        <f t="shared" si="258"/>
        <v>4395.1900000000305</v>
      </c>
      <c r="U956" s="39">
        <f t="shared" si="258"/>
        <v>1.0368239600211382E-10</v>
      </c>
      <c r="V956" s="39">
        <f t="shared" si="258"/>
        <v>0</v>
      </c>
      <c r="W956" s="140">
        <f t="shared" si="258"/>
        <v>18553730.52</v>
      </c>
      <c r="X956" s="41">
        <f>W955+X953</f>
        <v>486137710.56840521</v>
      </c>
      <c r="Z956" s="220" t="s">
        <v>60</v>
      </c>
    </row>
    <row r="957" spans="1:29" ht="12.75" x14ac:dyDescent="0.2">
      <c r="A957" s="85"/>
      <c r="B957" s="44"/>
      <c r="C957" s="44"/>
      <c r="D957" s="44"/>
      <c r="E957" s="44"/>
      <c r="F957" s="44"/>
      <c r="G957" s="45"/>
      <c r="H957" s="44"/>
      <c r="I957" s="44"/>
      <c r="J957" s="44"/>
      <c r="K957" s="44"/>
      <c r="L957" s="44"/>
      <c r="M957" s="44"/>
      <c r="N957" s="44"/>
      <c r="O957" s="44"/>
      <c r="P957" s="44"/>
      <c r="Q957" s="45"/>
      <c r="R957" s="47"/>
      <c r="S957" s="47"/>
      <c r="T957" s="47"/>
      <c r="U957" s="47"/>
      <c r="V957" s="43"/>
      <c r="W957" s="86"/>
      <c r="X957" s="46"/>
    </row>
    <row r="958" spans="1:29" ht="12.75" x14ac:dyDescent="0.2">
      <c r="A958" s="82" t="s">
        <v>49</v>
      </c>
      <c r="B958" s="38">
        <v>5732.5</v>
      </c>
      <c r="C958" s="38">
        <v>146566.25</v>
      </c>
      <c r="D958" s="38">
        <v>259739.93</v>
      </c>
      <c r="E958" s="38">
        <v>120847.48</v>
      </c>
      <c r="F958" s="38">
        <v>60666.22</v>
      </c>
      <c r="G958" s="39">
        <f>SUM(B958:F958)</f>
        <v>593552.38</v>
      </c>
      <c r="H958" s="38">
        <v>463775.29</v>
      </c>
      <c r="I958" s="38">
        <v>431326.66</v>
      </c>
      <c r="J958" s="38">
        <v>227245.95</v>
      </c>
      <c r="K958" s="38">
        <v>224289.86</v>
      </c>
      <c r="L958" s="38">
        <v>282283.96999999997</v>
      </c>
      <c r="M958" s="38">
        <v>26951.73</v>
      </c>
      <c r="N958" s="38">
        <v>0</v>
      </c>
      <c r="O958" s="38">
        <v>337095.7</v>
      </c>
      <c r="P958" s="38">
        <v>115251.07</v>
      </c>
      <c r="Q958" s="39">
        <f>SUM(H958:P958)</f>
        <v>2108220.2299999995</v>
      </c>
      <c r="R958" s="255">
        <v>243807.75</v>
      </c>
      <c r="S958" s="39">
        <v>0</v>
      </c>
      <c r="T958" s="39">
        <v>0</v>
      </c>
      <c r="U958" s="39">
        <v>0</v>
      </c>
      <c r="V958" s="39">
        <v>0</v>
      </c>
      <c r="W958" s="83">
        <f>Q958+G958+R958+S958+T958+U958+V958</f>
        <v>2945580.3599999994</v>
      </c>
      <c r="X958" s="41"/>
      <c r="Z958" s="220">
        <f>I958+J958+K958+O958</f>
        <v>1219958.17</v>
      </c>
    </row>
    <row r="959" spans="1:29" ht="12.75" x14ac:dyDescent="0.2">
      <c r="A959" s="82" t="s">
        <v>42</v>
      </c>
      <c r="B959" s="141">
        <f t="shared" ref="B959:W959" si="259">B956+B958-B910</f>
        <v>11737.980000000025</v>
      </c>
      <c r="C959" s="141">
        <f t="shared" si="259"/>
        <v>1845816.0799999996</v>
      </c>
      <c r="D959" s="141">
        <f t="shared" si="259"/>
        <v>2594951.8499999996</v>
      </c>
      <c r="E959" s="141">
        <f t="shared" si="259"/>
        <v>980143.32000000007</v>
      </c>
      <c r="F959" s="141">
        <f t="shared" si="259"/>
        <v>590560.48999999906</v>
      </c>
      <c r="G959" s="39">
        <f t="shared" si="259"/>
        <v>6023209.7200000016</v>
      </c>
      <c r="H959" s="141">
        <f t="shared" si="259"/>
        <v>1540066.8800000013</v>
      </c>
      <c r="I959" s="141">
        <f t="shared" si="259"/>
        <v>966717.14000000106</v>
      </c>
      <c r="J959" s="141">
        <f t="shared" si="259"/>
        <v>1872060.99</v>
      </c>
      <c r="K959" s="141">
        <f t="shared" si="259"/>
        <v>1801289.1499999997</v>
      </c>
      <c r="L959" s="141">
        <f t="shared" si="259"/>
        <v>1139169.120000001</v>
      </c>
      <c r="M959" s="141">
        <f t="shared" si="259"/>
        <v>231241.24000000043</v>
      </c>
      <c r="N959" s="141">
        <f t="shared" si="259"/>
        <v>844176.38999999966</v>
      </c>
      <c r="O959" s="141">
        <f t="shared" si="259"/>
        <v>2370021.73</v>
      </c>
      <c r="P959" s="141">
        <f t="shared" si="259"/>
        <v>535178.51000000013</v>
      </c>
      <c r="Q959" s="39">
        <f t="shared" si="259"/>
        <v>11299921.149999991</v>
      </c>
      <c r="R959" s="39">
        <f t="shared" si="259"/>
        <v>1210146.6100000027</v>
      </c>
      <c r="S959" s="39">
        <f t="shared" si="259"/>
        <v>283682.01000000059</v>
      </c>
      <c r="T959" s="39">
        <f t="shared" si="259"/>
        <v>4395.1900000000305</v>
      </c>
      <c r="U959" s="39">
        <f t="shared" si="259"/>
        <v>1.0368239600211382E-10</v>
      </c>
      <c r="V959" s="39">
        <f t="shared" si="259"/>
        <v>0</v>
      </c>
      <c r="W959" s="140">
        <f t="shared" si="259"/>
        <v>18821354.68</v>
      </c>
      <c r="X959" s="41">
        <f>W958+X956</f>
        <v>489083290.92840523</v>
      </c>
    </row>
    <row r="960" spans="1:29" ht="12.75" x14ac:dyDescent="0.2">
      <c r="A960" s="85"/>
      <c r="B960" s="43"/>
      <c r="C960" s="43"/>
      <c r="D960" s="43"/>
      <c r="E960" s="43"/>
      <c r="F960" s="43"/>
      <c r="G960" s="47"/>
      <c r="H960" s="43"/>
      <c r="I960" s="43"/>
      <c r="J960" s="43"/>
      <c r="K960" s="43"/>
      <c r="L960" s="43"/>
      <c r="M960" s="43"/>
      <c r="N960" s="43"/>
      <c r="O960" s="43"/>
      <c r="P960" s="43"/>
      <c r="Q960" s="47"/>
      <c r="R960" s="47"/>
      <c r="S960" s="47"/>
      <c r="T960" s="47"/>
      <c r="U960" s="47"/>
      <c r="V960" s="43"/>
      <c r="W960" s="87"/>
      <c r="X960" s="46"/>
    </row>
    <row r="961" spans="1:27" ht="12.75" x14ac:dyDescent="0.2">
      <c r="A961" s="82" t="s">
        <v>50</v>
      </c>
      <c r="B961" s="38">
        <v>24021.89</v>
      </c>
      <c r="C961" s="38">
        <v>125237.45</v>
      </c>
      <c r="D961" s="38">
        <v>265740.55</v>
      </c>
      <c r="E961" s="38">
        <v>188415.72</v>
      </c>
      <c r="F961" s="38">
        <v>0</v>
      </c>
      <c r="G961" s="39">
        <f>SUM(B961:F961)</f>
        <v>603415.61</v>
      </c>
      <c r="H961" s="38">
        <v>404098.74</v>
      </c>
      <c r="I961" s="38">
        <v>369497.17</v>
      </c>
      <c r="J961" s="38">
        <v>224686.86</v>
      </c>
      <c r="K961" s="38">
        <v>212999.29</v>
      </c>
      <c r="L961" s="38">
        <v>290476.24</v>
      </c>
      <c r="M961" s="38">
        <v>11442.47</v>
      </c>
      <c r="N961" s="38">
        <v>0</v>
      </c>
      <c r="O961" s="38">
        <v>348968.12</v>
      </c>
      <c r="P961" s="38">
        <v>170366.55</v>
      </c>
      <c r="Q961" s="39">
        <f>SUM(H961:P961)</f>
        <v>2032535.4399999997</v>
      </c>
      <c r="R961" s="258">
        <v>227646.13</v>
      </c>
      <c r="S961" s="39">
        <v>0</v>
      </c>
      <c r="T961" s="39">
        <v>0</v>
      </c>
      <c r="U961" s="39">
        <v>0</v>
      </c>
      <c r="V961" s="39">
        <v>0</v>
      </c>
      <c r="W961" s="83">
        <f>Q961+G961+R961+S961+T961+U961+V961</f>
        <v>2863597.1799999997</v>
      </c>
      <c r="X961" s="41"/>
      <c r="Y961" s="264" t="s">
        <v>212</v>
      </c>
      <c r="Z961" s="220">
        <f>I961+J961+K961+O961</f>
        <v>1156151.44</v>
      </c>
    </row>
    <row r="962" spans="1:27" ht="12.75" x14ac:dyDescent="0.2">
      <c r="A962" s="82" t="s">
        <v>42</v>
      </c>
      <c r="B962" s="141">
        <f t="shared" ref="B962:W962" si="260">B959+B961-B913</f>
        <v>35759.870000000024</v>
      </c>
      <c r="C962" s="141">
        <f t="shared" si="260"/>
        <v>1802252.5799999996</v>
      </c>
      <c r="D962" s="141">
        <f t="shared" si="260"/>
        <v>2658369.8499999996</v>
      </c>
      <c r="E962" s="141">
        <f t="shared" si="260"/>
        <v>1168559.04</v>
      </c>
      <c r="F962" s="141">
        <f t="shared" si="260"/>
        <v>476579.26999999909</v>
      </c>
      <c r="G962" s="39">
        <f t="shared" si="260"/>
        <v>6141520.6100000022</v>
      </c>
      <c r="H962" s="141">
        <f t="shared" si="260"/>
        <v>1548780.3500000013</v>
      </c>
      <c r="I962" s="141">
        <f t="shared" si="260"/>
        <v>955964.18000000098</v>
      </c>
      <c r="J962" s="141">
        <f t="shared" si="260"/>
        <v>1922707.2400000002</v>
      </c>
      <c r="K962" s="141">
        <f t="shared" si="260"/>
        <v>1847352.6699999997</v>
      </c>
      <c r="L962" s="141">
        <f t="shared" si="260"/>
        <v>1220631.8800000011</v>
      </c>
      <c r="M962" s="141">
        <f t="shared" si="260"/>
        <v>201149.88000000041</v>
      </c>
      <c r="N962" s="141">
        <f t="shared" si="260"/>
        <v>844176.38999999966</v>
      </c>
      <c r="O962" s="141">
        <f t="shared" si="260"/>
        <v>2619996.13</v>
      </c>
      <c r="P962" s="141">
        <f t="shared" si="260"/>
        <v>705545.06</v>
      </c>
      <c r="Q962" s="39">
        <f t="shared" si="260"/>
        <v>11866303.77999999</v>
      </c>
      <c r="R962" s="39">
        <f t="shared" si="260"/>
        <v>1146831.4700000025</v>
      </c>
      <c r="S962" s="39">
        <f t="shared" si="260"/>
        <v>283682.01000000059</v>
      </c>
      <c r="T962" s="39">
        <f t="shared" si="260"/>
        <v>4395.1900000000305</v>
      </c>
      <c r="U962" s="39">
        <f t="shared" si="260"/>
        <v>1.0368239600211382E-10</v>
      </c>
      <c r="V962" s="39">
        <f t="shared" si="260"/>
        <v>0</v>
      </c>
      <c r="W962" s="140">
        <f t="shared" si="260"/>
        <v>19442733.059999999</v>
      </c>
      <c r="X962" s="41">
        <f>W961+X959</f>
        <v>491946888.10840523</v>
      </c>
    </row>
    <row r="963" spans="1:27" ht="12.75" x14ac:dyDescent="0.2">
      <c r="A963" s="85"/>
      <c r="B963" s="43"/>
      <c r="C963" s="43"/>
      <c r="D963" s="43"/>
      <c r="E963" s="43"/>
      <c r="F963" s="43"/>
      <c r="G963" s="47"/>
      <c r="H963" s="43"/>
      <c r="I963" s="43"/>
      <c r="J963" s="43"/>
      <c r="K963" s="43"/>
      <c r="L963" s="43"/>
      <c r="M963" s="43"/>
      <c r="N963" s="43"/>
      <c r="O963" s="43"/>
      <c r="P963" s="43"/>
      <c r="Q963" s="47"/>
      <c r="R963" s="47"/>
      <c r="S963" s="47"/>
      <c r="T963" s="47"/>
      <c r="U963" s="47"/>
      <c r="V963" s="43"/>
      <c r="W963" s="87"/>
      <c r="X963" s="46"/>
    </row>
    <row r="964" spans="1:27" ht="12.75" x14ac:dyDescent="0.2">
      <c r="A964" s="82" t="s">
        <v>51</v>
      </c>
      <c r="B964" s="38">
        <v>25659.74</v>
      </c>
      <c r="C964" s="38">
        <v>79866.929999999993</v>
      </c>
      <c r="D964" s="38">
        <v>228421.4</v>
      </c>
      <c r="E964" s="38">
        <v>348738.68</v>
      </c>
      <c r="F964" s="38">
        <v>0</v>
      </c>
      <c r="G964" s="39">
        <f>SUM(B964:F964)</f>
        <v>682686.75</v>
      </c>
      <c r="H964" s="38">
        <v>216727.89</v>
      </c>
      <c r="I964" s="38">
        <v>41890.44</v>
      </c>
      <c r="J964" s="38">
        <v>124602.32</v>
      </c>
      <c r="K964" s="38">
        <v>120954.03</v>
      </c>
      <c r="L964" s="38">
        <v>169591.41</v>
      </c>
      <c r="M964" s="38">
        <v>12273.94</v>
      </c>
      <c r="N964" s="38">
        <v>0</v>
      </c>
      <c r="O964" s="38">
        <v>250449.02</v>
      </c>
      <c r="P964" s="38">
        <v>81702.399999999994</v>
      </c>
      <c r="Q964" s="39">
        <f>SUM(H964:P964)</f>
        <v>1018191.4500000001</v>
      </c>
      <c r="R964" s="39">
        <v>173269.75</v>
      </c>
      <c r="S964" s="39">
        <v>0</v>
      </c>
      <c r="T964" s="39">
        <v>0</v>
      </c>
      <c r="U964" s="39">
        <v>0</v>
      </c>
      <c r="V964" s="39">
        <v>0</v>
      </c>
      <c r="W964" s="83">
        <f>Q964+G964+R964+S964+T964+U964+V964</f>
        <v>1874147.9500000002</v>
      </c>
      <c r="X964" s="41"/>
      <c r="Z964" s="220">
        <f>I964+J964+K964+O964</f>
        <v>537895.81000000006</v>
      </c>
    </row>
    <row r="965" spans="1:27" ht="12.75" x14ac:dyDescent="0.2">
      <c r="A965" s="82" t="s">
        <v>42</v>
      </c>
      <c r="B965" s="141">
        <f t="shared" ref="B965:W965" si="261">B962+B964-B916</f>
        <v>61419.61000000003</v>
      </c>
      <c r="C965" s="141">
        <f t="shared" si="261"/>
        <v>1705385.7099999995</v>
      </c>
      <c r="D965" s="141">
        <f t="shared" si="261"/>
        <v>2662058.9799999995</v>
      </c>
      <c r="E965" s="141">
        <f t="shared" si="261"/>
        <v>1517297.72</v>
      </c>
      <c r="F965" s="141">
        <f t="shared" si="261"/>
        <v>336788.17999999912</v>
      </c>
      <c r="G965" s="39">
        <f t="shared" si="261"/>
        <v>6282950.200000002</v>
      </c>
      <c r="H965" s="141">
        <f t="shared" si="261"/>
        <v>1631166.6400000011</v>
      </c>
      <c r="I965" s="141">
        <f t="shared" si="261"/>
        <v>995483.00000000105</v>
      </c>
      <c r="J965" s="141">
        <f t="shared" si="261"/>
        <v>1900686.1900000004</v>
      </c>
      <c r="K965" s="141">
        <f t="shared" si="261"/>
        <v>1825606.0399999998</v>
      </c>
      <c r="L965" s="141">
        <f t="shared" si="261"/>
        <v>1107992.9600000009</v>
      </c>
      <c r="M965" s="141">
        <f t="shared" si="261"/>
        <v>213423.82000000041</v>
      </c>
      <c r="N965" s="141">
        <f t="shared" si="261"/>
        <v>733473.52999999968</v>
      </c>
      <c r="O965" s="141">
        <f t="shared" si="261"/>
        <v>2741779.1</v>
      </c>
      <c r="P965" s="141">
        <f t="shared" si="261"/>
        <v>787247.46000000008</v>
      </c>
      <c r="Q965" s="39">
        <f t="shared" si="261"/>
        <v>11936858.739999989</v>
      </c>
      <c r="R965" s="39">
        <f t="shared" si="261"/>
        <v>1069034.6000000024</v>
      </c>
      <c r="S965" s="39">
        <f t="shared" si="261"/>
        <v>134915.48000000059</v>
      </c>
      <c r="T965" s="39">
        <f t="shared" si="261"/>
        <v>4395.1900000000305</v>
      </c>
      <c r="U965" s="39">
        <f t="shared" si="261"/>
        <v>1.0368239600211382E-10</v>
      </c>
      <c r="V965" s="39">
        <f t="shared" si="261"/>
        <v>0</v>
      </c>
      <c r="W965" s="140">
        <f t="shared" si="261"/>
        <v>19428154.209999997</v>
      </c>
      <c r="X965" s="41">
        <f>W964+X962</f>
        <v>493821036.05840522</v>
      </c>
    </row>
    <row r="966" spans="1:27" ht="12.75" x14ac:dyDescent="0.2">
      <c r="A966" s="85"/>
      <c r="B966" s="44"/>
      <c r="C966" s="44"/>
      <c r="D966" s="44"/>
      <c r="E966" s="44"/>
      <c r="F966" s="44"/>
      <c r="G966" s="45"/>
      <c r="H966" s="44"/>
      <c r="I966" s="44"/>
      <c r="J966" s="44"/>
      <c r="K966" s="44"/>
      <c r="L966" s="44"/>
      <c r="M966" s="44"/>
      <c r="N966" s="44"/>
      <c r="O966" s="44"/>
      <c r="P966" s="44"/>
      <c r="Q966" s="45"/>
      <c r="R966" s="47"/>
      <c r="S966" s="47"/>
      <c r="T966" s="47"/>
      <c r="U966" s="47"/>
      <c r="V966" s="43"/>
      <c r="W966" s="86"/>
      <c r="X966" s="46"/>
    </row>
    <row r="967" spans="1:27" ht="12.75" x14ac:dyDescent="0.2">
      <c r="A967" s="82" t="s">
        <v>52</v>
      </c>
      <c r="B967" s="38">
        <v>9008.2099999999991</v>
      </c>
      <c r="C967" s="38">
        <v>116831.48</v>
      </c>
      <c r="D967" s="38">
        <v>297248.86</v>
      </c>
      <c r="E967" s="38">
        <v>370478.31</v>
      </c>
      <c r="F967" s="38">
        <v>71492.17</v>
      </c>
      <c r="G967" s="39">
        <f>SUM(B967:F967)</f>
        <v>865059.03</v>
      </c>
      <c r="H967" s="38">
        <v>202136.84</v>
      </c>
      <c r="I967" s="38">
        <v>0</v>
      </c>
      <c r="J967" s="38">
        <v>119881.09</v>
      </c>
      <c r="K967" s="38">
        <v>122114.27</v>
      </c>
      <c r="L967" s="38">
        <v>214990.61</v>
      </c>
      <c r="M967" s="38">
        <v>3549.68</v>
      </c>
      <c r="N967" s="38">
        <v>0</v>
      </c>
      <c r="O967" s="38">
        <v>243932.79999999999</v>
      </c>
      <c r="P967" s="38">
        <v>52124.07</v>
      </c>
      <c r="Q967" s="39">
        <f>SUM(H967:P967)</f>
        <v>958729.36</v>
      </c>
      <c r="R967" s="39">
        <v>209439.22</v>
      </c>
      <c r="S967" s="39">
        <v>0</v>
      </c>
      <c r="T967" s="39">
        <v>0</v>
      </c>
      <c r="U967" s="39">
        <v>0</v>
      </c>
      <c r="V967" s="39">
        <v>0</v>
      </c>
      <c r="W967" s="83">
        <f>Q967+G967+R967+S967+T967+U967+V967</f>
        <v>2033227.61</v>
      </c>
      <c r="X967" s="41"/>
      <c r="Z967" s="220">
        <f>I967+J967+K967+O967</f>
        <v>485928.16</v>
      </c>
    </row>
    <row r="968" spans="1:27" ht="12.75" x14ac:dyDescent="0.2">
      <c r="A968" s="82" t="s">
        <v>42</v>
      </c>
      <c r="B968" s="141">
        <f t="shared" ref="B968:W968" si="262">B965+B967-B919</f>
        <v>70427.820000000036</v>
      </c>
      <c r="C968" s="141">
        <f t="shared" si="262"/>
        <v>1662814.5999999994</v>
      </c>
      <c r="D968" s="141">
        <f t="shared" si="262"/>
        <v>2719254.8199999994</v>
      </c>
      <c r="E968" s="141">
        <f t="shared" si="262"/>
        <v>1887776.03</v>
      </c>
      <c r="F968" s="141">
        <f t="shared" si="262"/>
        <v>354852.22999999911</v>
      </c>
      <c r="G968" s="39">
        <f t="shared" si="262"/>
        <v>6695125.5000000019</v>
      </c>
      <c r="H968" s="141">
        <f t="shared" si="262"/>
        <v>1807527.4400000011</v>
      </c>
      <c r="I968" s="141">
        <f t="shared" si="262"/>
        <v>995483.00000000105</v>
      </c>
      <c r="J968" s="141">
        <f t="shared" si="262"/>
        <v>1875879.6500000004</v>
      </c>
      <c r="K968" s="141">
        <f t="shared" si="262"/>
        <v>1808953.2299999997</v>
      </c>
      <c r="L968" s="141">
        <f t="shared" si="262"/>
        <v>1318097.5500000007</v>
      </c>
      <c r="M968" s="141">
        <f t="shared" si="262"/>
        <v>216973.50000000041</v>
      </c>
      <c r="N968" s="141">
        <f t="shared" si="262"/>
        <v>612184.91999999969</v>
      </c>
      <c r="O968" s="141">
        <f t="shared" si="262"/>
        <v>2955299.01</v>
      </c>
      <c r="P968" s="141">
        <f t="shared" si="262"/>
        <v>839371.53</v>
      </c>
      <c r="Q968" s="39">
        <f t="shared" si="262"/>
        <v>12429769.829999989</v>
      </c>
      <c r="R968" s="39">
        <f t="shared" si="262"/>
        <v>1278473.8200000024</v>
      </c>
      <c r="S968" s="39">
        <f t="shared" si="262"/>
        <v>131387.92000000059</v>
      </c>
      <c r="T968" s="39">
        <f t="shared" si="262"/>
        <v>4395.1900000000305</v>
      </c>
      <c r="U968" s="39">
        <f t="shared" si="262"/>
        <v>1.0368239600211382E-10</v>
      </c>
      <c r="V968" s="39">
        <f t="shared" si="262"/>
        <v>0</v>
      </c>
      <c r="W968" s="140">
        <f t="shared" si="262"/>
        <v>20539152.259999998</v>
      </c>
      <c r="X968" s="41">
        <f>W967+X965</f>
        <v>495854263.66840523</v>
      </c>
    </row>
    <row r="969" spans="1:27" ht="12.75" x14ac:dyDescent="0.2">
      <c r="A969" s="85"/>
      <c r="B969" s="43"/>
      <c r="C969" s="43"/>
      <c r="D969" s="43"/>
      <c r="E969" s="43"/>
      <c r="F969" s="43"/>
      <c r="G969" s="47"/>
      <c r="H969" s="43"/>
      <c r="I969" s="43"/>
      <c r="J969" s="43"/>
      <c r="K969" s="43"/>
      <c r="L969" s="43"/>
      <c r="M969" s="43"/>
      <c r="N969" s="43"/>
      <c r="O969" s="43"/>
      <c r="P969" s="43"/>
      <c r="Q969" s="47"/>
      <c r="R969" s="47"/>
      <c r="S969" s="47"/>
      <c r="T969" s="47"/>
      <c r="U969" s="47"/>
      <c r="V969" s="43"/>
      <c r="W969" s="87"/>
      <c r="X969" s="46"/>
    </row>
    <row r="970" spans="1:27" ht="12.75" x14ac:dyDescent="0.2">
      <c r="A970" s="37" t="s">
        <v>53</v>
      </c>
      <c r="B970" s="38">
        <v>0</v>
      </c>
      <c r="C970" s="38">
        <v>95441.83</v>
      </c>
      <c r="D970" s="38">
        <v>208030.72</v>
      </c>
      <c r="E970" s="38">
        <v>220393.61</v>
      </c>
      <c r="F970" s="38">
        <v>77689.53</v>
      </c>
      <c r="G970" s="39">
        <f>SUM(B970:F970)</f>
        <v>601555.68999999994</v>
      </c>
      <c r="H970" s="38">
        <v>108324.32</v>
      </c>
      <c r="I970" s="271">
        <f>0+946.85</f>
        <v>946.85</v>
      </c>
      <c r="J970" s="271">
        <f>105198.61+9280.16</f>
        <v>114478.77</v>
      </c>
      <c r="K970" s="271">
        <f>103707.73+8812.09</f>
        <v>112519.81999999999</v>
      </c>
      <c r="L970" s="38">
        <v>89780.59</v>
      </c>
      <c r="M970" s="38">
        <v>0</v>
      </c>
      <c r="N970" s="38">
        <v>0</v>
      </c>
      <c r="O970" s="271">
        <f>171041.36+43922.47</f>
        <v>214963.83</v>
      </c>
      <c r="P970" s="38">
        <v>0</v>
      </c>
      <c r="Q970" s="39">
        <f>SUM(H970:P970)</f>
        <v>641014.17999999993</v>
      </c>
      <c r="R970" s="139">
        <v>201760.06</v>
      </c>
      <c r="S970" s="39">
        <v>0</v>
      </c>
      <c r="T970" s="39">
        <v>0</v>
      </c>
      <c r="U970" s="39">
        <v>0</v>
      </c>
      <c r="V970" s="39">
        <v>0</v>
      </c>
      <c r="W970" s="83">
        <f>Q970+G970+R970+S970+T970+U970+V970</f>
        <v>1444329.93</v>
      </c>
      <c r="X970" s="41"/>
      <c r="Y970" s="264"/>
      <c r="Z970" s="220">
        <f>I970+J970+K970+O970</f>
        <v>442909.27</v>
      </c>
      <c r="AA970" s="285" t="s">
        <v>233</v>
      </c>
    </row>
    <row r="971" spans="1:27" ht="13.5" thickBot="1" x14ac:dyDescent="0.25">
      <c r="A971" s="88" t="s">
        <v>42</v>
      </c>
      <c r="B971" s="143">
        <f t="shared" ref="B971:W971" si="263">B968+B970-B922</f>
        <v>70427.820000000036</v>
      </c>
      <c r="C971" s="143">
        <f t="shared" si="263"/>
        <v>1617624.3499999994</v>
      </c>
      <c r="D971" s="143">
        <f t="shared" si="263"/>
        <v>2737283.9099999997</v>
      </c>
      <c r="E971" s="143">
        <f t="shared" si="263"/>
        <v>2108169.64</v>
      </c>
      <c r="F971" s="143">
        <f t="shared" si="263"/>
        <v>415486.12999999907</v>
      </c>
      <c r="G971" s="50">
        <f t="shared" si="263"/>
        <v>6948991.8500000015</v>
      </c>
      <c r="H971" s="143">
        <f t="shared" si="263"/>
        <v>1915851.7600000012</v>
      </c>
      <c r="I971" s="143">
        <f t="shared" si="263"/>
        <v>996429.85000000102</v>
      </c>
      <c r="J971" s="143">
        <f t="shared" si="263"/>
        <v>1858792.9700000004</v>
      </c>
      <c r="K971" s="143">
        <f t="shared" si="263"/>
        <v>1793221.41</v>
      </c>
      <c r="L971" s="198">
        <f t="shared" si="263"/>
        <v>1407878.1400000008</v>
      </c>
      <c r="M971" s="143">
        <f t="shared" si="263"/>
        <v>216973.50000000041</v>
      </c>
      <c r="N971" s="143">
        <f t="shared" si="263"/>
        <v>545520.08999999973</v>
      </c>
      <c r="O971" s="143">
        <f t="shared" si="263"/>
        <v>2915836.3499999996</v>
      </c>
      <c r="P971" s="143">
        <f t="shared" si="263"/>
        <v>839371.53</v>
      </c>
      <c r="Q971" s="50">
        <f t="shared" si="263"/>
        <v>12489875.599999988</v>
      </c>
      <c r="R971" s="50">
        <f t="shared" si="263"/>
        <v>1480233.8800000024</v>
      </c>
      <c r="S971" s="50">
        <f t="shared" si="263"/>
        <v>131387.92000000059</v>
      </c>
      <c r="T971" s="50">
        <f t="shared" si="263"/>
        <v>4395.1900000000305</v>
      </c>
      <c r="U971" s="50">
        <f t="shared" si="263"/>
        <v>1.0368239600211382E-10</v>
      </c>
      <c r="V971" s="50">
        <f t="shared" si="263"/>
        <v>0</v>
      </c>
      <c r="W971" s="144">
        <f t="shared" si="263"/>
        <v>21054884.439999998</v>
      </c>
      <c r="X971" s="51">
        <f>W970+X968</f>
        <v>497298593.59840524</v>
      </c>
    </row>
    <row r="972" spans="1:27" ht="12.75" x14ac:dyDescent="0.2">
      <c r="A972" s="92"/>
      <c r="B972" s="52" t="s">
        <v>213</v>
      </c>
      <c r="C972" s="90"/>
      <c r="D972" s="90"/>
      <c r="E972" s="90"/>
      <c r="F972" s="90"/>
      <c r="G972" s="90"/>
      <c r="I972" s="90"/>
      <c r="J972" s="90"/>
      <c r="K972" s="90"/>
      <c r="L972" s="90"/>
      <c r="M972" s="90"/>
      <c r="N972" s="90"/>
      <c r="O972" s="171"/>
      <c r="P972" s="90"/>
      <c r="Q972" s="282" t="s">
        <v>232</v>
      </c>
      <c r="S972" s="52"/>
      <c r="T972" s="52"/>
      <c r="U972" s="52"/>
      <c r="V972" s="52"/>
      <c r="W972" s="90"/>
      <c r="X972" s="91"/>
    </row>
    <row r="973" spans="1:27" ht="12.75" x14ac:dyDescent="0.2">
      <c r="B973" s="278" t="s">
        <v>228</v>
      </c>
      <c r="C973" s="279"/>
      <c r="D973" s="279"/>
      <c r="E973" s="279"/>
      <c r="F973" s="279"/>
      <c r="G973" s="279"/>
      <c r="H973" s="279"/>
      <c r="I973" s="279"/>
      <c r="L973" s="1" t="s">
        <v>224</v>
      </c>
      <c r="M973" s="1" t="s">
        <v>225</v>
      </c>
      <c r="O973" s="220">
        <f>(H971+I971+J971+K971+L971+M971+N971+O971+P971)-Q971</f>
        <v>0</v>
      </c>
      <c r="P973" t="s">
        <v>122</v>
      </c>
      <c r="W973" s="220">
        <f>G971+Q971+R971+S971+T971</f>
        <v>21054884.439999994</v>
      </c>
      <c r="X973" s="9"/>
      <c r="Z973" s="220">
        <f>SUM(Z937:Z971)</f>
        <v>7564280.5800000001</v>
      </c>
    </row>
    <row r="974" spans="1:27" ht="12" x14ac:dyDescent="0.2">
      <c r="B974" s="272" t="s">
        <v>218</v>
      </c>
      <c r="C974" s="273"/>
      <c r="D974" s="273"/>
      <c r="E974" s="273"/>
      <c r="F974" s="273"/>
      <c r="G974" s="273"/>
      <c r="H974" s="273"/>
      <c r="I974" s="273"/>
      <c r="L974" s="275">
        <f>I971+J971+K971+O971</f>
        <v>7564280.580000001</v>
      </c>
      <c r="M974" s="275">
        <f>L971+M971+N971+P971</f>
        <v>3009743.2600000007</v>
      </c>
      <c r="W974" s="220">
        <f>W971-W973</f>
        <v>0</v>
      </c>
    </row>
    <row r="975" spans="1:27" x14ac:dyDescent="0.2">
      <c r="G975" s="1" t="s">
        <v>227</v>
      </c>
      <c r="I975" s="220">
        <f>I955+I958+I961+I964+I967+I970</f>
        <v>996429.85</v>
      </c>
      <c r="J975" s="220">
        <f>J955+J958+J961+J964+J967+J970</f>
        <v>1040641.4</v>
      </c>
      <c r="K975" s="220">
        <f>K955+K958+K961+K964+K967+K970</f>
        <v>1009634.21</v>
      </c>
      <c r="O975" s="220">
        <f>O955+O958+O961+O964+O967+O970</f>
        <v>1653825.58</v>
      </c>
    </row>
    <row r="976" spans="1:27" ht="27" x14ac:dyDescent="0.35">
      <c r="A976" s="133" t="s">
        <v>220</v>
      </c>
      <c r="B976" s="54"/>
      <c r="C976" s="122"/>
      <c r="D976" s="58"/>
      <c r="E976" s="127"/>
      <c r="F976" s="128"/>
      <c r="G976" s="127"/>
      <c r="H976" s="129"/>
      <c r="I976" s="130"/>
      <c r="J976" s="130"/>
      <c r="K976" s="130"/>
      <c r="L976" s="130"/>
      <c r="M976" s="130"/>
      <c r="N976" s="130"/>
      <c r="O976" s="130"/>
      <c r="P976" s="130"/>
      <c r="Q976" s="130"/>
      <c r="R976" s="128"/>
      <c r="S976" s="128"/>
      <c r="T976" s="128"/>
      <c r="U976" s="128"/>
      <c r="V976" s="128"/>
      <c r="W976" s="130"/>
      <c r="X976" s="131"/>
    </row>
    <row r="977" spans="1:25" ht="15.75" x14ac:dyDescent="0.25">
      <c r="A977" s="136"/>
      <c r="B977" s="170"/>
      <c r="C977" s="54"/>
      <c r="D977" s="53"/>
      <c r="E977" s="53"/>
      <c r="F977" s="132"/>
      <c r="H977" s="55"/>
      <c r="I977" s="55"/>
      <c r="J977" s="54"/>
      <c r="K977" s="56"/>
      <c r="L977" s="57"/>
      <c r="M977" s="54"/>
      <c r="N977" s="54" t="s">
        <v>60</v>
      </c>
      <c r="O977" s="54"/>
      <c r="P977" s="54"/>
      <c r="Q977" s="57"/>
      <c r="R977" s="58"/>
      <c r="S977" s="58"/>
      <c r="T977" s="58"/>
      <c r="U977" s="58"/>
      <c r="V977" s="58"/>
      <c r="W977" s="54"/>
      <c r="X977" s="54"/>
    </row>
    <row r="978" spans="1:25" ht="27" x14ac:dyDescent="0.35">
      <c r="A978" s="134" t="s">
        <v>6</v>
      </c>
      <c r="B978" s="122"/>
      <c r="C978" s="122"/>
      <c r="D978" s="122"/>
      <c r="E978" s="122"/>
      <c r="F978" s="122"/>
      <c r="H978" s="122"/>
      <c r="I978" s="122"/>
      <c r="J978" s="122"/>
      <c r="K978" s="122"/>
      <c r="L978" s="122"/>
      <c r="M978" s="122"/>
      <c r="N978" s="122"/>
      <c r="O978" s="122"/>
      <c r="P978" s="122"/>
      <c r="Q978" s="122"/>
      <c r="R978" s="122"/>
      <c r="S978" s="122"/>
      <c r="T978" s="122"/>
      <c r="U978" s="122"/>
      <c r="V978" s="122"/>
      <c r="W978" s="142"/>
      <c r="X978" s="122"/>
    </row>
    <row r="979" spans="1:25" ht="12" thickBot="1" x14ac:dyDescent="0.25">
      <c r="B979" s="2"/>
      <c r="C979" s="2"/>
      <c r="D979" s="2"/>
      <c r="E979" s="2"/>
      <c r="F979" s="59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 t="s">
        <v>60</v>
      </c>
      <c r="W979" s="2"/>
      <c r="X979" s="57"/>
    </row>
    <row r="980" spans="1:25" x14ac:dyDescent="0.2">
      <c r="A980" s="14"/>
      <c r="B980" s="15"/>
      <c r="C980" s="15"/>
      <c r="D980" s="15"/>
      <c r="E980" s="15"/>
      <c r="F980" s="15"/>
      <c r="G980" s="15"/>
      <c r="H980" s="15"/>
      <c r="I980" s="15"/>
      <c r="J980" s="15"/>
      <c r="K980" s="15"/>
      <c r="L980" s="15"/>
      <c r="M980" s="15"/>
      <c r="N980" s="15"/>
      <c r="O980" s="15"/>
      <c r="P980" s="15"/>
      <c r="Q980" s="15"/>
      <c r="R980" s="16"/>
      <c r="S980" s="16"/>
      <c r="T980" s="16"/>
      <c r="U980" s="16"/>
      <c r="V980" s="16"/>
      <c r="W980" s="15"/>
      <c r="X980" s="60" t="s">
        <v>60</v>
      </c>
    </row>
    <row r="981" spans="1:25" ht="13.5" thickBot="1" x14ac:dyDescent="0.25">
      <c r="A981" s="18"/>
      <c r="B981" s="61"/>
      <c r="C981" s="62"/>
      <c r="D981" s="63" t="s">
        <v>73</v>
      </c>
      <c r="E981" s="64"/>
      <c r="F981" s="64"/>
      <c r="G981" s="64"/>
      <c r="H981" s="61"/>
      <c r="I981" s="64"/>
      <c r="J981" s="64"/>
      <c r="K981" s="65" t="s">
        <v>74</v>
      </c>
      <c r="L981" s="64"/>
      <c r="M981" s="64"/>
      <c r="N981" s="64"/>
      <c r="O981" s="64"/>
      <c r="P981" s="64"/>
      <c r="Q981" s="138"/>
      <c r="R981" s="64"/>
      <c r="S981" s="64"/>
      <c r="T981" s="64"/>
      <c r="U981" s="64"/>
      <c r="V981" s="64"/>
      <c r="W981" s="66"/>
      <c r="X981" s="36" t="s">
        <v>60</v>
      </c>
    </row>
    <row r="982" spans="1:25" ht="12" x14ac:dyDescent="0.2">
      <c r="A982" s="67"/>
      <c r="B982" s="68" t="s">
        <v>11</v>
      </c>
      <c r="C982" s="68" t="s">
        <v>12</v>
      </c>
      <c r="D982" s="68" t="s">
        <v>13</v>
      </c>
      <c r="E982" s="68" t="s">
        <v>14</v>
      </c>
      <c r="F982" s="68" t="s">
        <v>15</v>
      </c>
      <c r="G982" s="69" t="s">
        <v>16</v>
      </c>
      <c r="H982" s="68" t="s">
        <v>17</v>
      </c>
      <c r="I982" s="70"/>
      <c r="J982" s="70"/>
      <c r="K982" s="70"/>
      <c r="L982" s="70"/>
      <c r="M982" s="68" t="s">
        <v>18</v>
      </c>
      <c r="N982" s="68" t="s">
        <v>19</v>
      </c>
      <c r="O982" s="68" t="s">
        <v>20</v>
      </c>
      <c r="P982" s="68" t="s">
        <v>21</v>
      </c>
      <c r="Q982" s="69" t="s">
        <v>16</v>
      </c>
      <c r="R982" s="203" t="s">
        <v>69</v>
      </c>
      <c r="S982" s="202" t="s">
        <v>126</v>
      </c>
      <c r="T982" s="202" t="s">
        <v>138</v>
      </c>
      <c r="U982" s="202" t="s">
        <v>134</v>
      </c>
      <c r="V982" s="202" t="s">
        <v>136</v>
      </c>
      <c r="W982" s="72" t="s">
        <v>7</v>
      </c>
      <c r="X982" s="73" t="s">
        <v>70</v>
      </c>
    </row>
    <row r="983" spans="1:25" ht="12.75" thickBot="1" x14ac:dyDescent="0.25">
      <c r="A983" s="75"/>
      <c r="B983" s="76" t="s">
        <v>23</v>
      </c>
      <c r="C983" s="76" t="s">
        <v>24</v>
      </c>
      <c r="D983" s="76" t="s">
        <v>25</v>
      </c>
      <c r="E983" s="76" t="s">
        <v>26</v>
      </c>
      <c r="F983" s="76" t="s">
        <v>27</v>
      </c>
      <c r="G983" s="77" t="s">
        <v>28</v>
      </c>
      <c r="H983" s="76" t="s">
        <v>29</v>
      </c>
      <c r="I983" s="76" t="s">
        <v>30</v>
      </c>
      <c r="J983" s="76" t="s">
        <v>31</v>
      </c>
      <c r="K983" s="76" t="s">
        <v>32</v>
      </c>
      <c r="L983" s="76" t="s">
        <v>33</v>
      </c>
      <c r="M983" s="76" t="s">
        <v>34</v>
      </c>
      <c r="N983" s="76" t="s">
        <v>35</v>
      </c>
      <c r="O983" s="76" t="s">
        <v>36</v>
      </c>
      <c r="P983" s="76" t="s">
        <v>37</v>
      </c>
      <c r="Q983" s="77" t="s">
        <v>28</v>
      </c>
      <c r="R983" s="204" t="s">
        <v>82</v>
      </c>
      <c r="S983" s="78" t="s">
        <v>130</v>
      </c>
      <c r="T983" s="78" t="s">
        <v>139</v>
      </c>
      <c r="U983" s="78" t="s">
        <v>135</v>
      </c>
      <c r="V983" s="78" t="s">
        <v>189</v>
      </c>
      <c r="W983" s="79" t="s">
        <v>10</v>
      </c>
      <c r="X983" s="80" t="s">
        <v>71</v>
      </c>
    </row>
    <row r="984" spans="1:25" x14ac:dyDescent="0.2">
      <c r="A984" s="18"/>
      <c r="B984" s="33"/>
      <c r="C984" s="33"/>
      <c r="D984" s="33"/>
      <c r="E984" s="33"/>
      <c r="F984" s="33"/>
      <c r="G984" s="34"/>
      <c r="H984" s="33"/>
      <c r="I984" s="33"/>
      <c r="J984" s="33"/>
      <c r="K984" s="33"/>
      <c r="L984" s="33"/>
      <c r="M984" s="33"/>
      <c r="N984" s="33"/>
      <c r="O984" s="33"/>
      <c r="P984" s="33"/>
      <c r="Q984" s="34"/>
      <c r="R984" s="205"/>
      <c r="S984" s="214"/>
      <c r="T984" s="214"/>
      <c r="U984" s="214"/>
      <c r="V984" s="35"/>
      <c r="W984" s="81"/>
      <c r="X984" s="36"/>
    </row>
    <row r="985" spans="1:25" ht="12.75" x14ac:dyDescent="0.2">
      <c r="A985" s="82" t="s">
        <v>41</v>
      </c>
      <c r="B985" s="38">
        <v>0</v>
      </c>
      <c r="C985" s="38">
        <v>36617.43</v>
      </c>
      <c r="D985" s="38">
        <v>204524.58</v>
      </c>
      <c r="E985" s="38">
        <v>164957</v>
      </c>
      <c r="F985" s="38">
        <v>59012.69</v>
      </c>
      <c r="G985" s="39">
        <f>SUM(B985:F985)+4887.63</f>
        <v>469999.33</v>
      </c>
      <c r="H985" s="38">
        <v>236250.4</v>
      </c>
      <c r="I985" s="38">
        <v>0</v>
      </c>
      <c r="J985" s="38">
        <v>17694.400000000001</v>
      </c>
      <c r="K985" s="38">
        <v>18220.57</v>
      </c>
      <c r="L985" s="38">
        <v>216721.35</v>
      </c>
      <c r="M985" s="38">
        <v>0</v>
      </c>
      <c r="N985" s="38">
        <v>0</v>
      </c>
      <c r="O985" s="38">
        <v>142621.91</v>
      </c>
      <c r="P985" s="38">
        <v>0</v>
      </c>
      <c r="Q985" s="39">
        <f>SUM(H985:P985)</f>
        <v>631508.63</v>
      </c>
      <c r="R985" s="39">
        <v>213187.62</v>
      </c>
      <c r="S985" s="39">
        <v>0</v>
      </c>
      <c r="T985" s="39">
        <v>0</v>
      </c>
      <c r="U985" s="39">
        <v>0</v>
      </c>
      <c r="V985" s="39">
        <v>0</v>
      </c>
      <c r="W985" s="83">
        <f>Q985+G985+R985+S985+T985+U985+V985</f>
        <v>1314695.58</v>
      </c>
      <c r="X985" s="41"/>
    </row>
    <row r="986" spans="1:25" ht="12.75" x14ac:dyDescent="0.2">
      <c r="A986" s="82" t="s">
        <v>42</v>
      </c>
      <c r="B986" s="141">
        <f t="shared" ref="B986:W986" si="264">B971+B985-B937</f>
        <v>70427.820000000036</v>
      </c>
      <c r="C986" s="141">
        <f t="shared" si="264"/>
        <v>1559337.6099999994</v>
      </c>
      <c r="D986" s="141">
        <f t="shared" si="264"/>
        <v>2659520.7299999995</v>
      </c>
      <c r="E986" s="141">
        <f t="shared" si="264"/>
        <v>2114608.5900000003</v>
      </c>
      <c r="F986" s="141">
        <f t="shared" si="264"/>
        <v>453357.82999999908</v>
      </c>
      <c r="G986" s="172">
        <f t="shared" si="264"/>
        <v>6862140.2100000018</v>
      </c>
      <c r="H986" s="141">
        <f t="shared" si="264"/>
        <v>2152102.1600000011</v>
      </c>
      <c r="I986" s="141">
        <f t="shared" si="264"/>
        <v>996429.85000000102</v>
      </c>
      <c r="J986" s="141">
        <f t="shared" si="264"/>
        <v>1783717.8600000003</v>
      </c>
      <c r="K986" s="141">
        <f t="shared" si="264"/>
        <v>1726393.8699999999</v>
      </c>
      <c r="L986" s="141">
        <f t="shared" si="264"/>
        <v>1624599.4900000009</v>
      </c>
      <c r="M986" s="141">
        <f t="shared" si="264"/>
        <v>216973.50000000041</v>
      </c>
      <c r="N986" s="141">
        <f t="shared" si="264"/>
        <v>480916.86999999976</v>
      </c>
      <c r="O986" s="141">
        <f t="shared" si="264"/>
        <v>2885270.98</v>
      </c>
      <c r="P986" s="141">
        <f t="shared" si="264"/>
        <v>839371.53</v>
      </c>
      <c r="Q986" s="39">
        <f t="shared" si="264"/>
        <v>12705776.10999999</v>
      </c>
      <c r="R986" s="172">
        <f t="shared" si="264"/>
        <v>1693421.5000000023</v>
      </c>
      <c r="S986" s="172">
        <f t="shared" si="264"/>
        <v>131387.92000000059</v>
      </c>
      <c r="T986" s="172">
        <f t="shared" si="264"/>
        <v>4395.1900000000305</v>
      </c>
      <c r="U986" s="172">
        <f t="shared" si="264"/>
        <v>1.0368239600211382E-10</v>
      </c>
      <c r="V986" s="172">
        <f t="shared" si="264"/>
        <v>0</v>
      </c>
      <c r="W986" s="83">
        <f t="shared" si="264"/>
        <v>21397120.929999996</v>
      </c>
      <c r="X986" s="41">
        <f>X971+W985</f>
        <v>498613289.17840523</v>
      </c>
    </row>
    <row r="987" spans="1:25" ht="12.75" x14ac:dyDescent="0.2">
      <c r="A987" s="85"/>
      <c r="B987" s="38"/>
      <c r="C987" s="38"/>
      <c r="D987" s="38"/>
      <c r="E987" s="38"/>
      <c r="F987" s="38"/>
      <c r="G987" s="39"/>
      <c r="H987" s="38"/>
      <c r="I987" s="38"/>
      <c r="J987" s="38"/>
      <c r="K987" s="38"/>
      <c r="L987" s="38"/>
      <c r="M987" s="38"/>
      <c r="N987" s="38"/>
      <c r="O987" s="38"/>
      <c r="P987" s="38"/>
      <c r="Q987" s="39" t="s">
        <v>60</v>
      </c>
      <c r="R987" s="47"/>
      <c r="S987" s="47"/>
      <c r="T987" s="47"/>
      <c r="U987" s="47"/>
      <c r="V987" s="43"/>
      <c r="W987" s="83"/>
      <c r="X987" s="41"/>
    </row>
    <row r="988" spans="1:25" ht="12.75" x14ac:dyDescent="0.2">
      <c r="A988" s="82" t="s">
        <v>43</v>
      </c>
      <c r="B988" s="38">
        <v>13648.8</v>
      </c>
      <c r="C988" s="38">
        <v>42280.3</v>
      </c>
      <c r="D988" s="38">
        <v>209312.29</v>
      </c>
      <c r="E988" s="38">
        <v>238280.33</v>
      </c>
      <c r="F988" s="38">
        <v>61725.64</v>
      </c>
      <c r="G988" s="39">
        <f>SUM(B988:F988)</f>
        <v>565247.36</v>
      </c>
      <c r="H988" s="38">
        <v>243452.17</v>
      </c>
      <c r="I988" s="38">
        <v>0</v>
      </c>
      <c r="J988" s="38">
        <v>0</v>
      </c>
      <c r="K988" s="38">
        <v>0</v>
      </c>
      <c r="L988" s="38">
        <v>32633.66</v>
      </c>
      <c r="M988" s="38">
        <v>0</v>
      </c>
      <c r="N988" s="38">
        <v>0</v>
      </c>
      <c r="O988" s="38">
        <v>201179.14</v>
      </c>
      <c r="P988" s="38">
        <v>0</v>
      </c>
      <c r="Q988" s="39">
        <f>SUM(H988:P988)</f>
        <v>477264.97000000003</v>
      </c>
      <c r="R988" s="39">
        <v>196643.95</v>
      </c>
      <c r="S988" s="39">
        <v>99585.32</v>
      </c>
      <c r="T988" s="39">
        <v>0</v>
      </c>
      <c r="U988" s="39">
        <v>0</v>
      </c>
      <c r="V988" s="39">
        <v>0</v>
      </c>
      <c r="W988" s="83">
        <f>Q988+G988+R988+S988+T988+U988+V988</f>
        <v>1338741.6000000001</v>
      </c>
      <c r="X988" s="41"/>
    </row>
    <row r="989" spans="1:25" ht="12.75" x14ac:dyDescent="0.2">
      <c r="A989" s="82" t="s">
        <v>42</v>
      </c>
      <c r="B989" s="141">
        <f t="shared" ref="B989:W989" si="265">B986+B988-B940</f>
        <v>84076.620000000039</v>
      </c>
      <c r="C989" s="141">
        <f t="shared" si="265"/>
        <v>1491433.1899999995</v>
      </c>
      <c r="D989" s="141">
        <f t="shared" si="265"/>
        <v>2773609.0499999993</v>
      </c>
      <c r="E989" s="141">
        <f t="shared" si="265"/>
        <v>2324680.2700000005</v>
      </c>
      <c r="F989" s="141">
        <f t="shared" si="265"/>
        <v>515083.4699999991</v>
      </c>
      <c r="G989" s="39">
        <f t="shared" si="265"/>
        <v>7193770.2300000023</v>
      </c>
      <c r="H989" s="141">
        <f t="shared" si="265"/>
        <v>2378956.6100000008</v>
      </c>
      <c r="I989" s="141">
        <f t="shared" si="265"/>
        <v>996429.85000000102</v>
      </c>
      <c r="J989" s="141">
        <f t="shared" si="265"/>
        <v>1683141.2300000004</v>
      </c>
      <c r="K989" s="141">
        <f t="shared" si="265"/>
        <v>1629828.5699999998</v>
      </c>
      <c r="L989" s="141">
        <f t="shared" si="265"/>
        <v>1657233.1500000008</v>
      </c>
      <c r="M989" s="141">
        <f t="shared" si="265"/>
        <v>216973.50000000041</v>
      </c>
      <c r="N989" s="141">
        <f t="shared" si="265"/>
        <v>471334.38999999978</v>
      </c>
      <c r="O989" s="141">
        <f t="shared" si="265"/>
        <v>2863489.5700000003</v>
      </c>
      <c r="P989" s="141">
        <f t="shared" si="265"/>
        <v>839371.53</v>
      </c>
      <c r="Q989" s="39">
        <f t="shared" si="265"/>
        <v>12736758.399999991</v>
      </c>
      <c r="R989" s="39">
        <f t="shared" si="265"/>
        <v>1890065.4500000023</v>
      </c>
      <c r="S989" s="39">
        <f t="shared" si="265"/>
        <v>230973.2400000006</v>
      </c>
      <c r="T989" s="39">
        <f t="shared" si="265"/>
        <v>4395.1900000000305</v>
      </c>
      <c r="U989" s="39">
        <f t="shared" si="265"/>
        <v>1.0368239600211382E-10</v>
      </c>
      <c r="V989" s="39">
        <f t="shared" si="265"/>
        <v>0</v>
      </c>
      <c r="W989" s="140">
        <f t="shared" si="265"/>
        <v>22055962.509999998</v>
      </c>
      <c r="X989" s="41">
        <f>W988+X986</f>
        <v>499952030.77840525</v>
      </c>
    </row>
    <row r="990" spans="1:25" ht="12.75" x14ac:dyDescent="0.2">
      <c r="A990" s="85"/>
      <c r="B990" s="44"/>
      <c r="C990" s="44"/>
      <c r="D990" s="44"/>
      <c r="E990" s="44"/>
      <c r="F990" s="44"/>
      <c r="G990" s="45"/>
      <c r="H990" s="44"/>
      <c r="I990" s="44"/>
      <c r="J990" s="44"/>
      <c r="K990" s="44"/>
      <c r="L990" s="44"/>
      <c r="M990" s="44"/>
      <c r="N990" s="44"/>
      <c r="O990" s="44"/>
      <c r="P990" s="44"/>
      <c r="Q990" s="45"/>
      <c r="R990" s="47"/>
      <c r="S990" s="47"/>
      <c r="T990" s="47"/>
      <c r="U990" s="47"/>
      <c r="V990" s="43"/>
      <c r="W990" s="86"/>
      <c r="X990" s="46"/>
    </row>
    <row r="991" spans="1:25" ht="12.75" x14ac:dyDescent="0.2">
      <c r="A991" s="82" t="s">
        <v>44</v>
      </c>
      <c r="B991" s="38">
        <v>12572.35</v>
      </c>
      <c r="C991" s="38">
        <v>43420.29</v>
      </c>
      <c r="D991" s="38">
        <v>161611.63</v>
      </c>
      <c r="E991" s="38">
        <v>228522.93</v>
      </c>
      <c r="F991" s="38">
        <v>24906.35</v>
      </c>
      <c r="G991" s="39">
        <f>SUM(B991:F991)</f>
        <v>471033.55</v>
      </c>
      <c r="H991" s="38">
        <v>90071.55</v>
      </c>
      <c r="I991" s="38">
        <v>0</v>
      </c>
      <c r="J991" s="38">
        <v>98054.61</v>
      </c>
      <c r="K991" s="38">
        <v>94680</v>
      </c>
      <c r="L991" s="38">
        <v>81209.38</v>
      </c>
      <c r="M991" s="38">
        <v>0</v>
      </c>
      <c r="N991" s="38">
        <v>64904.69</v>
      </c>
      <c r="O991" s="38">
        <v>203807.56</v>
      </c>
      <c r="P991" s="38">
        <v>0</v>
      </c>
      <c r="Q991" s="39">
        <f>SUM(H991:P991)</f>
        <v>632727.79</v>
      </c>
      <c r="R991" s="39">
        <v>0</v>
      </c>
      <c r="S991" s="39">
        <v>0</v>
      </c>
      <c r="T991" s="39">
        <v>0</v>
      </c>
      <c r="U991" s="39">
        <v>0</v>
      </c>
      <c r="V991" s="39">
        <v>0</v>
      </c>
      <c r="W991" s="83">
        <f>Q991+G991+R991+S991+T991+U991+V991</f>
        <v>1103761.3400000001</v>
      </c>
      <c r="X991" s="41"/>
      <c r="Y991" s="220" t="s">
        <v>60</v>
      </c>
    </row>
    <row r="992" spans="1:25" ht="12.75" x14ac:dyDescent="0.2">
      <c r="A992" s="82" t="s">
        <v>42</v>
      </c>
      <c r="B992" s="141">
        <f t="shared" ref="B992:W992" si="266">B989+B991-B943</f>
        <v>96648.970000000045</v>
      </c>
      <c r="C992" s="141">
        <f t="shared" si="266"/>
        <v>1354572.0699999996</v>
      </c>
      <c r="D992" s="141">
        <f t="shared" si="266"/>
        <v>2730780.6499999994</v>
      </c>
      <c r="E992" s="141">
        <f t="shared" si="266"/>
        <v>2441637.5400000005</v>
      </c>
      <c r="F992" s="141">
        <f t="shared" si="266"/>
        <v>522351.93999999913</v>
      </c>
      <c r="G992" s="39">
        <f t="shared" si="266"/>
        <v>7150878.8000000026</v>
      </c>
      <c r="H992" s="141">
        <f t="shared" si="266"/>
        <v>2469028.1600000006</v>
      </c>
      <c r="I992" s="141">
        <f t="shared" si="266"/>
        <v>996429.85000000102</v>
      </c>
      <c r="J992" s="141">
        <f t="shared" si="266"/>
        <v>1642120.3400000005</v>
      </c>
      <c r="K992" s="141">
        <f t="shared" si="266"/>
        <v>1591792.5899999999</v>
      </c>
      <c r="L992" s="141">
        <f t="shared" si="266"/>
        <v>1738442.5300000007</v>
      </c>
      <c r="M992" s="141">
        <f t="shared" si="266"/>
        <v>216973.50000000041</v>
      </c>
      <c r="N992" s="141">
        <f t="shared" si="266"/>
        <v>512127.03999999986</v>
      </c>
      <c r="O992" s="141">
        <f t="shared" si="266"/>
        <v>2817062.0900000003</v>
      </c>
      <c r="P992" s="141">
        <f t="shared" si="266"/>
        <v>811456.61</v>
      </c>
      <c r="Q992" s="39">
        <f t="shared" si="266"/>
        <v>12795432.70999999</v>
      </c>
      <c r="R992" s="39">
        <f t="shared" si="266"/>
        <v>1890065.4500000023</v>
      </c>
      <c r="S992" s="39">
        <f t="shared" si="266"/>
        <v>230973.2400000006</v>
      </c>
      <c r="T992" s="39">
        <f t="shared" si="266"/>
        <v>4395.1900000000305</v>
      </c>
      <c r="U992" s="39">
        <f t="shared" si="266"/>
        <v>1.0368239600211382E-10</v>
      </c>
      <c r="V992" s="226">
        <f t="shared" si="266"/>
        <v>0</v>
      </c>
      <c r="W992" s="83">
        <f t="shared" si="266"/>
        <v>22071745.389999997</v>
      </c>
      <c r="X992" s="41">
        <f>W991+X989</f>
        <v>501055792.11840522</v>
      </c>
    </row>
    <row r="993" spans="1:26" ht="12.75" x14ac:dyDescent="0.2">
      <c r="A993" s="85"/>
      <c r="B993" s="43"/>
      <c r="C993" s="43"/>
      <c r="D993" s="43"/>
      <c r="E993" s="43"/>
      <c r="F993" s="43"/>
      <c r="G993" s="47"/>
      <c r="H993" s="43"/>
      <c r="I993" s="43"/>
      <c r="J993" s="43"/>
      <c r="K993" s="43"/>
      <c r="L993" s="43"/>
      <c r="M993" s="43"/>
      <c r="N993" s="43"/>
      <c r="O993" s="43"/>
      <c r="P993" s="43"/>
      <c r="Q993" s="47"/>
      <c r="R993" s="47"/>
      <c r="S993" s="47"/>
      <c r="T993" s="47"/>
      <c r="U993" s="47"/>
      <c r="V993" s="43"/>
      <c r="W993" s="87"/>
      <c r="X993" s="46"/>
    </row>
    <row r="994" spans="1:26" ht="12.75" x14ac:dyDescent="0.2">
      <c r="A994" s="82" t="s">
        <v>45</v>
      </c>
      <c r="B994" s="38">
        <v>0</v>
      </c>
      <c r="C994" s="38">
        <v>123373.78</v>
      </c>
      <c r="D994" s="38">
        <v>131034.81</v>
      </c>
      <c r="E994" s="38">
        <v>344703.39</v>
      </c>
      <c r="F994" s="38">
        <v>99440.23</v>
      </c>
      <c r="G994" s="39">
        <f>SUM(B994:F994)</f>
        <v>698552.21</v>
      </c>
      <c r="H994" s="38">
        <v>0</v>
      </c>
      <c r="I994" s="38">
        <v>0</v>
      </c>
      <c r="J994" s="141">
        <f>135503.62-1.52</f>
        <v>135502.1</v>
      </c>
      <c r="K994" s="38">
        <v>135324.6</v>
      </c>
      <c r="L994" s="38">
        <v>136075.54999999999</v>
      </c>
      <c r="M994" s="38">
        <v>8555.85</v>
      </c>
      <c r="N994" s="38">
        <v>120095.27</v>
      </c>
      <c r="O994" s="38">
        <v>248062.73</v>
      </c>
      <c r="P994" s="38">
        <v>0</v>
      </c>
      <c r="Q994" s="39">
        <f>SUM(H994:P994)</f>
        <v>783616.1</v>
      </c>
      <c r="R994" s="39">
        <v>0</v>
      </c>
      <c r="S994" s="39">
        <v>0</v>
      </c>
      <c r="T994" s="39">
        <v>0</v>
      </c>
      <c r="U994" s="39">
        <v>0</v>
      </c>
      <c r="V994" s="39">
        <v>0</v>
      </c>
      <c r="W994" s="83">
        <f>Q994+G994+R994+S994+T994+U994+V994</f>
        <v>1482168.31</v>
      </c>
      <c r="X994" s="41" t="s">
        <v>60</v>
      </c>
    </row>
    <row r="995" spans="1:26" ht="12.75" x14ac:dyDescent="0.2">
      <c r="A995" s="82" t="s">
        <v>42</v>
      </c>
      <c r="B995" s="141">
        <f t="shared" ref="B995:W995" si="267">B992+B994-B946</f>
        <v>96375.990000000049</v>
      </c>
      <c r="C995" s="141">
        <f t="shared" si="267"/>
        <v>1294468.2299999995</v>
      </c>
      <c r="D995" s="141">
        <f t="shared" si="267"/>
        <v>2707107.0199999996</v>
      </c>
      <c r="E995" s="141">
        <f t="shared" si="267"/>
        <v>2466715.5300000007</v>
      </c>
      <c r="F995" s="141">
        <f t="shared" si="267"/>
        <v>621792.16999999911</v>
      </c>
      <c r="G995" s="39">
        <f t="shared" si="267"/>
        <v>7191346.5700000022</v>
      </c>
      <c r="H995" s="141">
        <f t="shared" si="267"/>
        <v>2469028.1600000006</v>
      </c>
      <c r="I995" s="141">
        <f t="shared" si="267"/>
        <v>996429.85000000102</v>
      </c>
      <c r="J995" s="141">
        <f t="shared" si="267"/>
        <v>1636217.0100000007</v>
      </c>
      <c r="K995" s="141">
        <f t="shared" si="267"/>
        <v>1590548.9</v>
      </c>
      <c r="L995" s="141">
        <f t="shared" si="267"/>
        <v>1874518.0800000008</v>
      </c>
      <c r="M995" s="141">
        <f t="shared" si="267"/>
        <v>189904.66000000041</v>
      </c>
      <c r="N995" s="141">
        <f t="shared" si="267"/>
        <v>474619.68999999983</v>
      </c>
      <c r="O995" s="141">
        <f t="shared" si="267"/>
        <v>2830607.22</v>
      </c>
      <c r="P995" s="141">
        <f t="shared" si="267"/>
        <v>650830.42999999993</v>
      </c>
      <c r="Q995" s="39">
        <f t="shared" si="267"/>
        <v>12712703.999999989</v>
      </c>
      <c r="R995" s="39">
        <f t="shared" si="267"/>
        <v>1890065.4500000023</v>
      </c>
      <c r="S995" s="39">
        <f t="shared" si="267"/>
        <v>129117.62000000061</v>
      </c>
      <c r="T995" s="39">
        <f t="shared" si="267"/>
        <v>3.092281986027956E-11</v>
      </c>
      <c r="U995" s="39">
        <f t="shared" si="267"/>
        <v>1.0368239600211382E-10</v>
      </c>
      <c r="V995" s="39">
        <f t="shared" si="267"/>
        <v>0</v>
      </c>
      <c r="W995" s="140">
        <f t="shared" si="267"/>
        <v>21923233.639999997</v>
      </c>
      <c r="X995" s="41">
        <f>W994+X992</f>
        <v>502537960.42840523</v>
      </c>
    </row>
    <row r="996" spans="1:26" ht="12.75" x14ac:dyDescent="0.2">
      <c r="A996" s="85"/>
      <c r="B996" s="44"/>
      <c r="C996" s="44"/>
      <c r="D996" s="44"/>
      <c r="E996" s="44"/>
      <c r="F996" s="44"/>
      <c r="G996" s="45"/>
      <c r="H996" s="44"/>
      <c r="I996" s="44"/>
      <c r="J996" s="44"/>
      <c r="K996" s="44"/>
      <c r="L996" s="44"/>
      <c r="M996" s="44"/>
      <c r="N996" s="44"/>
      <c r="O996" s="44"/>
      <c r="P996" s="44"/>
      <c r="Q996" s="45"/>
      <c r="R996" s="47"/>
      <c r="S996" s="47"/>
      <c r="T996" s="47"/>
      <c r="U996" s="47"/>
      <c r="V996" s="43"/>
      <c r="W996" s="86"/>
      <c r="X996" s="46"/>
    </row>
    <row r="997" spans="1:26" ht="12.75" x14ac:dyDescent="0.2">
      <c r="A997" s="82" t="s">
        <v>46</v>
      </c>
      <c r="B997" s="38">
        <v>6286.18</v>
      </c>
      <c r="C997" s="38">
        <v>135847.72</v>
      </c>
      <c r="D997" s="38">
        <v>200810.91</v>
      </c>
      <c r="E997" s="38">
        <v>387855.93</v>
      </c>
      <c r="F997" s="38">
        <v>107526.31</v>
      </c>
      <c r="G997" s="39">
        <f>SUM(B997:F997)</f>
        <v>838327.05</v>
      </c>
      <c r="H997" s="38">
        <v>88907.42</v>
      </c>
      <c r="I997" s="84">
        <v>0</v>
      </c>
      <c r="J997" s="84">
        <v>151898.01999999999</v>
      </c>
      <c r="K997" s="84">
        <v>149046.28</v>
      </c>
      <c r="L997" s="84">
        <v>219755.53</v>
      </c>
      <c r="M997" s="84">
        <v>30005.439999999999</v>
      </c>
      <c r="N997" s="84">
        <v>105055.8</v>
      </c>
      <c r="O997" s="84">
        <v>253926.18</v>
      </c>
      <c r="P997" s="38">
        <v>24960.49</v>
      </c>
      <c r="Q997" s="39">
        <f>SUM(H997:P997)</f>
        <v>1023555.1599999999</v>
      </c>
      <c r="R997" s="39">
        <v>0</v>
      </c>
      <c r="S997" s="39">
        <v>4312.78</v>
      </c>
      <c r="T997" s="39">
        <v>0</v>
      </c>
      <c r="U997" s="39">
        <v>0</v>
      </c>
      <c r="V997" s="39">
        <v>0</v>
      </c>
      <c r="W997" s="83">
        <f>Q997+G997+R997+S997+T997+U997+V997</f>
        <v>1866194.99</v>
      </c>
      <c r="X997" s="41"/>
    </row>
    <row r="998" spans="1:26" ht="12.75" x14ac:dyDescent="0.2">
      <c r="A998" s="82" t="s">
        <v>42</v>
      </c>
      <c r="B998" s="141">
        <f t="shared" ref="B998:W998" si="268">B995+B997-B949</f>
        <v>102662.17000000004</v>
      </c>
      <c r="C998" s="141">
        <f t="shared" si="268"/>
        <v>1259780.2899999996</v>
      </c>
      <c r="D998" s="141">
        <f t="shared" si="268"/>
        <v>2664687.2299999995</v>
      </c>
      <c r="E998" s="141">
        <f t="shared" si="268"/>
        <v>2854571.4600000009</v>
      </c>
      <c r="F998" s="141">
        <f t="shared" si="268"/>
        <v>729318.47999999905</v>
      </c>
      <c r="G998" s="39">
        <f t="shared" si="268"/>
        <v>7615907.2600000016</v>
      </c>
      <c r="H998" s="141">
        <f t="shared" si="268"/>
        <v>2557935.5800000005</v>
      </c>
      <c r="I998" s="141">
        <f t="shared" si="268"/>
        <v>996429.85000000102</v>
      </c>
      <c r="J998" s="141">
        <f t="shared" si="268"/>
        <v>1650627.5400000007</v>
      </c>
      <c r="K998" s="141">
        <f t="shared" si="268"/>
        <v>1604912.67</v>
      </c>
      <c r="L998" s="141">
        <f t="shared" si="268"/>
        <v>2094273.6100000008</v>
      </c>
      <c r="M998" s="141">
        <f t="shared" si="268"/>
        <v>175466.60000000041</v>
      </c>
      <c r="N998" s="141">
        <f t="shared" si="268"/>
        <v>439563.40999999992</v>
      </c>
      <c r="O998" s="141">
        <f t="shared" si="268"/>
        <v>2908894.18</v>
      </c>
      <c r="P998" s="141">
        <f t="shared" si="268"/>
        <v>551956.22</v>
      </c>
      <c r="Q998" s="39">
        <f t="shared" si="268"/>
        <v>12980059.659999989</v>
      </c>
      <c r="R998" s="39">
        <f t="shared" si="268"/>
        <v>1804265.7900000024</v>
      </c>
      <c r="S998" s="39">
        <f t="shared" si="268"/>
        <v>108712.3300000006</v>
      </c>
      <c r="T998" s="39">
        <f t="shared" si="268"/>
        <v>3.092281986027956E-11</v>
      </c>
      <c r="U998" s="39">
        <f t="shared" si="268"/>
        <v>1.0368239600211382E-10</v>
      </c>
      <c r="V998" s="39">
        <f t="shared" si="268"/>
        <v>0</v>
      </c>
      <c r="W998" s="140">
        <f t="shared" si="268"/>
        <v>22508945.039999995</v>
      </c>
      <c r="X998" s="41">
        <f>W997+X995</f>
        <v>504404155.41840523</v>
      </c>
    </row>
    <row r="999" spans="1:26" ht="12.75" x14ac:dyDescent="0.2">
      <c r="A999" s="85"/>
      <c r="B999" s="44"/>
      <c r="C999" s="44"/>
      <c r="D999" s="44"/>
      <c r="E999" s="44"/>
      <c r="F999" s="44"/>
      <c r="G999" s="45"/>
      <c r="H999" s="44"/>
      <c r="I999" s="44"/>
      <c r="J999" s="44"/>
      <c r="K999" s="44"/>
      <c r="L999" s="44"/>
      <c r="M999" s="44"/>
      <c r="N999" s="44"/>
      <c r="O999" s="44"/>
      <c r="P999" s="44"/>
      <c r="Q999" s="45"/>
      <c r="R999" s="47"/>
      <c r="S999" s="47"/>
      <c r="T999" s="47"/>
      <c r="U999" s="47"/>
      <c r="V999" s="43"/>
      <c r="W999" s="86"/>
      <c r="X999" s="46"/>
    </row>
    <row r="1000" spans="1:26" ht="12.75" x14ac:dyDescent="0.2">
      <c r="A1000" s="82" t="s">
        <v>47</v>
      </c>
      <c r="B1000" s="38">
        <v>31704.19</v>
      </c>
      <c r="C1000" s="38">
        <v>174081.46</v>
      </c>
      <c r="D1000" s="38">
        <v>341077.99</v>
      </c>
      <c r="E1000" s="38">
        <v>331672.46000000002</v>
      </c>
      <c r="F1000" s="38">
        <v>92982.63</v>
      </c>
      <c r="G1000" s="39">
        <f>SUM(B1000:F1000)</f>
        <v>971518.7300000001</v>
      </c>
      <c r="H1000" s="38">
        <v>444938.48</v>
      </c>
      <c r="I1000" s="38">
        <v>373499.97</v>
      </c>
      <c r="J1000" s="38">
        <v>220377.39</v>
      </c>
      <c r="K1000" s="38">
        <v>216195.29</v>
      </c>
      <c r="L1000" s="38">
        <v>25630.75</v>
      </c>
      <c r="M1000" s="38">
        <v>0</v>
      </c>
      <c r="N1000" s="38">
        <v>0</v>
      </c>
      <c r="O1000" s="38">
        <v>392291.22</v>
      </c>
      <c r="P1000" s="38">
        <v>218896.37</v>
      </c>
      <c r="Q1000" s="39">
        <f>SUM(H1000:P1000)</f>
        <v>1891829.4699999997</v>
      </c>
      <c r="R1000" s="39">
        <v>87655.56</v>
      </c>
      <c r="S1000" s="39">
        <v>831426.44</v>
      </c>
      <c r="T1000" s="39">
        <v>0</v>
      </c>
      <c r="U1000" s="39">
        <v>0</v>
      </c>
      <c r="V1000" s="39">
        <v>0</v>
      </c>
      <c r="W1000" s="83">
        <f>Q1000+G1000+R1000+S1000+T1000+U1000+V1000</f>
        <v>3782430.1999999997</v>
      </c>
      <c r="X1000" s="41"/>
      <c r="Z1000" s="220">
        <f>W1000-3782430.21</f>
        <v>-1.0000000242143869E-2</v>
      </c>
    </row>
    <row r="1001" spans="1:26" ht="12.75" x14ac:dyDescent="0.2">
      <c r="A1001" s="82" t="s">
        <v>42</v>
      </c>
      <c r="B1001" s="141">
        <f t="shared" ref="B1001:W1001" si="269">B998+B1000-B952</f>
        <v>134093.38000000003</v>
      </c>
      <c r="C1001" s="141">
        <f t="shared" si="269"/>
        <v>1280269.9699999995</v>
      </c>
      <c r="D1001" s="141">
        <f t="shared" si="269"/>
        <v>2775138.51</v>
      </c>
      <c r="E1001" s="141">
        <f t="shared" si="269"/>
        <v>3092027.0300000007</v>
      </c>
      <c r="F1001" s="141">
        <f t="shared" si="269"/>
        <v>769249.32999999903</v>
      </c>
      <c r="G1001" s="39">
        <f t="shared" si="269"/>
        <v>8055665.8500000024</v>
      </c>
      <c r="H1001" s="141">
        <f t="shared" si="269"/>
        <v>2586241.3500000006</v>
      </c>
      <c r="I1001" s="141">
        <f t="shared" si="269"/>
        <v>1369929.820000001</v>
      </c>
      <c r="J1001" s="141">
        <f t="shared" si="269"/>
        <v>1664167.9200000006</v>
      </c>
      <c r="K1001" s="141">
        <f t="shared" si="269"/>
        <v>1623100.95</v>
      </c>
      <c r="L1001" s="141">
        <f t="shared" si="269"/>
        <v>1953840.6200000008</v>
      </c>
      <c r="M1001" s="141">
        <f t="shared" si="269"/>
        <v>130092.3400000004</v>
      </c>
      <c r="N1001" s="141">
        <f t="shared" si="269"/>
        <v>344989.73999999993</v>
      </c>
      <c r="O1001" s="141">
        <f t="shared" si="269"/>
        <v>3095714.3200000003</v>
      </c>
      <c r="P1001" s="141">
        <f t="shared" si="269"/>
        <v>768688.85</v>
      </c>
      <c r="Q1001" s="39">
        <f t="shared" si="269"/>
        <v>13536765.909999987</v>
      </c>
      <c r="R1001" s="39">
        <f t="shared" si="269"/>
        <v>1793072.9500000025</v>
      </c>
      <c r="S1001" s="39">
        <f t="shared" si="269"/>
        <v>935324.5400000005</v>
      </c>
      <c r="T1001" s="39">
        <f t="shared" si="269"/>
        <v>3.092281986027956E-11</v>
      </c>
      <c r="U1001" s="39">
        <f t="shared" si="269"/>
        <v>1.0368239600211382E-10</v>
      </c>
      <c r="V1001" s="39">
        <f t="shared" si="269"/>
        <v>0</v>
      </c>
      <c r="W1001" s="140">
        <f t="shared" si="269"/>
        <v>24320829.249999996</v>
      </c>
      <c r="X1001" s="41">
        <f>W1000+X998</f>
        <v>508186585.61840522</v>
      </c>
    </row>
    <row r="1002" spans="1:26" ht="12.75" x14ac:dyDescent="0.2">
      <c r="A1002" s="85"/>
      <c r="B1002" s="43"/>
      <c r="C1002" s="43"/>
      <c r="D1002" s="43"/>
      <c r="E1002" s="43"/>
      <c r="F1002" s="43"/>
      <c r="G1002" s="47"/>
      <c r="H1002" s="43"/>
      <c r="I1002" s="43"/>
      <c r="J1002" s="43"/>
      <c r="K1002" s="43"/>
      <c r="L1002" s="43"/>
      <c r="M1002" s="43"/>
      <c r="N1002" s="43"/>
      <c r="O1002" s="43"/>
      <c r="P1002" s="43"/>
      <c r="Q1002" s="47"/>
      <c r="R1002" s="47"/>
      <c r="S1002" s="47"/>
      <c r="T1002" s="47"/>
      <c r="U1002" s="47"/>
      <c r="V1002" s="43"/>
      <c r="W1002" s="87"/>
      <c r="X1002" s="46"/>
    </row>
    <row r="1003" spans="1:26" ht="12.75" x14ac:dyDescent="0.2">
      <c r="A1003" s="82" t="s">
        <v>48</v>
      </c>
      <c r="B1003" s="38">
        <v>26784.58</v>
      </c>
      <c r="C1003" s="38">
        <v>204576.73</v>
      </c>
      <c r="D1003" s="38">
        <v>341098.44</v>
      </c>
      <c r="E1003" s="38">
        <v>298911.5</v>
      </c>
      <c r="F1003" s="38">
        <v>81186.789999999994</v>
      </c>
      <c r="G1003" s="39">
        <f>SUM(B1003:F1003)</f>
        <v>952558.04</v>
      </c>
      <c r="H1003" s="38">
        <v>484502.24</v>
      </c>
      <c r="I1003" s="291">
        <v>388484.4</v>
      </c>
      <c r="J1003" s="291">
        <v>198664.63</v>
      </c>
      <c r="K1003" s="291">
        <v>202731.16</v>
      </c>
      <c r="L1003" s="291">
        <v>333252.53000000003</v>
      </c>
      <c r="M1003" s="291">
        <v>39686.17</v>
      </c>
      <c r="N1003" s="291">
        <v>0</v>
      </c>
      <c r="O1003" s="291">
        <v>363113.22</v>
      </c>
      <c r="P1003" s="291">
        <v>215862.1</v>
      </c>
      <c r="Q1003" s="292">
        <f>SUM(H1003:P1003)</f>
        <v>2226296.4499999997</v>
      </c>
      <c r="R1003" s="292">
        <v>621483.97</v>
      </c>
      <c r="S1003" s="39">
        <v>482484.23</v>
      </c>
      <c r="T1003" s="39">
        <v>0</v>
      </c>
      <c r="U1003" s="39">
        <v>0</v>
      </c>
      <c r="V1003" s="39">
        <v>0</v>
      </c>
      <c r="W1003" s="83">
        <f>Q1003+G1003+R1003+S1003+T1003+U1003+V1003</f>
        <v>4282822.6899999995</v>
      </c>
      <c r="X1003" s="41"/>
    </row>
    <row r="1004" spans="1:26" ht="12.75" x14ac:dyDescent="0.2">
      <c r="A1004" s="82" t="s">
        <v>42</v>
      </c>
      <c r="B1004" s="141">
        <f t="shared" ref="B1004:W1004" si="270">B1001+B1003-B955</f>
        <v>155418.44000000003</v>
      </c>
      <c r="C1004" s="141">
        <f t="shared" si="270"/>
        <v>1324141.6499999994</v>
      </c>
      <c r="D1004" s="141">
        <f t="shared" si="270"/>
        <v>2848652.11</v>
      </c>
      <c r="E1004" s="141">
        <f t="shared" si="270"/>
        <v>3243777.3400000008</v>
      </c>
      <c r="F1004" s="141">
        <f t="shared" si="270"/>
        <v>736628.55999999912</v>
      </c>
      <c r="G1004" s="39">
        <f t="shared" si="270"/>
        <v>8313505.7300000023</v>
      </c>
      <c r="H1004" s="141">
        <f t="shared" si="270"/>
        <v>2983185.3400000008</v>
      </c>
      <c r="I1004" s="141">
        <f t="shared" si="270"/>
        <v>1605645.4900000012</v>
      </c>
      <c r="J1004" s="141">
        <f t="shared" si="270"/>
        <v>1633086.1400000008</v>
      </c>
      <c r="K1004" s="141">
        <f t="shared" si="270"/>
        <v>1609075.17</v>
      </c>
      <c r="L1004" s="141">
        <f t="shared" si="270"/>
        <v>2092401.5700000008</v>
      </c>
      <c r="M1004" s="141">
        <f t="shared" si="270"/>
        <v>132465.28000000041</v>
      </c>
      <c r="N1004" s="141">
        <f t="shared" si="270"/>
        <v>290055.75999999995</v>
      </c>
      <c r="O1004" s="141">
        <f t="shared" si="270"/>
        <v>3200411.43</v>
      </c>
      <c r="P1004" s="141">
        <f t="shared" si="270"/>
        <v>879163.04999999993</v>
      </c>
      <c r="Q1004" s="39">
        <f t="shared" si="270"/>
        <v>14425489.229999986</v>
      </c>
      <c r="R1004" s="39">
        <f t="shared" si="270"/>
        <v>2174894.0100000026</v>
      </c>
      <c r="S1004" s="39">
        <f t="shared" si="270"/>
        <v>1417808.7700000005</v>
      </c>
      <c r="T1004" s="39">
        <f t="shared" si="270"/>
        <v>3.092281986027956E-11</v>
      </c>
      <c r="U1004" s="39">
        <f t="shared" si="270"/>
        <v>1.0368239600211382E-10</v>
      </c>
      <c r="V1004" s="39">
        <f t="shared" si="270"/>
        <v>0</v>
      </c>
      <c r="W1004" s="140">
        <f t="shared" si="270"/>
        <v>26331697.739999998</v>
      </c>
      <c r="X1004" s="41">
        <f>W1003+X1001</f>
        <v>512469408.30840522</v>
      </c>
    </row>
    <row r="1005" spans="1:26" ht="12.75" x14ac:dyDescent="0.2">
      <c r="A1005" s="85"/>
      <c r="B1005" s="44"/>
      <c r="C1005" s="44"/>
      <c r="D1005" s="44"/>
      <c r="E1005" s="44"/>
      <c r="F1005" s="44"/>
      <c r="G1005" s="45"/>
      <c r="H1005" s="44"/>
      <c r="I1005" s="44"/>
      <c r="J1005" s="44"/>
      <c r="K1005" s="44"/>
      <c r="L1005" s="44"/>
      <c r="M1005" s="44"/>
      <c r="N1005" s="44"/>
      <c r="O1005" s="44"/>
      <c r="P1005" s="44"/>
      <c r="Q1005" s="45"/>
      <c r="R1005" s="47"/>
      <c r="S1005" s="47"/>
      <c r="T1005" s="47"/>
      <c r="U1005" s="47"/>
      <c r="V1005" s="43"/>
      <c r="W1005" s="86"/>
      <c r="X1005" s="46"/>
    </row>
    <row r="1006" spans="1:26" ht="12.75" x14ac:dyDescent="0.2">
      <c r="A1006" s="82" t="s">
        <v>49</v>
      </c>
      <c r="B1006" s="38">
        <v>22684.9</v>
      </c>
      <c r="C1006" s="38">
        <v>180346.37</v>
      </c>
      <c r="D1006" s="38">
        <v>338095.49</v>
      </c>
      <c r="E1006" s="38">
        <v>246139.99</v>
      </c>
      <c r="F1006" s="38">
        <v>80137.570000000007</v>
      </c>
      <c r="G1006" s="39">
        <f>SUM(B1006:F1006)</f>
        <v>867404.32000000007</v>
      </c>
      <c r="H1006" s="38">
        <v>520977.3</v>
      </c>
      <c r="I1006" s="38">
        <v>495609.63</v>
      </c>
      <c r="J1006" s="38">
        <v>228784.41</v>
      </c>
      <c r="K1006" s="38">
        <v>213682.96</v>
      </c>
      <c r="L1006" s="38">
        <v>305899.86</v>
      </c>
      <c r="M1006" s="38">
        <v>55342.22</v>
      </c>
      <c r="N1006" s="38">
        <v>0</v>
      </c>
      <c r="O1006" s="38">
        <v>361986.05</v>
      </c>
      <c r="P1006" s="38">
        <v>227295.47</v>
      </c>
      <c r="Q1006" s="39">
        <f>SUM(H1006:P1006)</f>
        <v>2409577.9</v>
      </c>
      <c r="R1006" s="292">
        <v>606639.28</v>
      </c>
      <c r="S1006" s="39">
        <v>624314.14</v>
      </c>
      <c r="T1006" s="39">
        <v>0</v>
      </c>
      <c r="U1006" s="39">
        <v>0</v>
      </c>
      <c r="V1006" s="39">
        <v>0</v>
      </c>
      <c r="W1006" s="83">
        <f>Q1006+G1006+R1006+S1006+T1006+U1006+V1006</f>
        <v>4507935.6399999997</v>
      </c>
      <c r="X1006" s="41"/>
    </row>
    <row r="1007" spans="1:26" ht="12.75" x14ac:dyDescent="0.2">
      <c r="A1007" s="82" t="s">
        <v>42</v>
      </c>
      <c r="B1007" s="141">
        <f t="shared" ref="B1007:W1007" si="271">B1004+B1006-B958</f>
        <v>172370.84000000003</v>
      </c>
      <c r="C1007" s="141">
        <f t="shared" si="271"/>
        <v>1357921.7699999996</v>
      </c>
      <c r="D1007" s="141">
        <f t="shared" si="271"/>
        <v>2927007.6699999995</v>
      </c>
      <c r="E1007" s="141">
        <f t="shared" si="271"/>
        <v>3369069.850000001</v>
      </c>
      <c r="F1007" s="141">
        <f t="shared" si="271"/>
        <v>756099.90999999922</v>
      </c>
      <c r="G1007" s="39">
        <f t="shared" si="271"/>
        <v>8587357.6700000018</v>
      </c>
      <c r="H1007" s="141">
        <f t="shared" si="271"/>
        <v>3040387.3500000006</v>
      </c>
      <c r="I1007" s="141">
        <f t="shared" si="271"/>
        <v>1669928.4600000011</v>
      </c>
      <c r="J1007" s="141">
        <f t="shared" si="271"/>
        <v>1634624.6000000008</v>
      </c>
      <c r="K1007" s="141">
        <f t="shared" si="271"/>
        <v>1598468.27</v>
      </c>
      <c r="L1007" s="141">
        <f t="shared" si="271"/>
        <v>2116017.4600000009</v>
      </c>
      <c r="M1007" s="141">
        <f t="shared" si="271"/>
        <v>160855.7700000004</v>
      </c>
      <c r="N1007" s="141">
        <f t="shared" si="271"/>
        <v>290055.75999999995</v>
      </c>
      <c r="O1007" s="141">
        <f t="shared" si="271"/>
        <v>3225301.78</v>
      </c>
      <c r="P1007" s="141">
        <f t="shared" si="271"/>
        <v>991207.45</v>
      </c>
      <c r="Q1007" s="39">
        <f t="shared" si="271"/>
        <v>14726846.899999984</v>
      </c>
      <c r="R1007" s="39">
        <f t="shared" si="271"/>
        <v>2537725.5400000028</v>
      </c>
      <c r="S1007" s="39">
        <f t="shared" si="271"/>
        <v>2042122.9100000006</v>
      </c>
      <c r="T1007" s="39">
        <f t="shared" si="271"/>
        <v>3.092281986027956E-11</v>
      </c>
      <c r="U1007" s="39">
        <f t="shared" si="271"/>
        <v>1.0368239600211382E-10</v>
      </c>
      <c r="V1007" s="39">
        <f t="shared" si="271"/>
        <v>0</v>
      </c>
      <c r="W1007" s="140">
        <f t="shared" si="271"/>
        <v>27894053.02</v>
      </c>
      <c r="X1007" s="41">
        <f>W1006+X1004</f>
        <v>516977343.94840521</v>
      </c>
    </row>
    <row r="1008" spans="1:26" ht="12.75" x14ac:dyDescent="0.2">
      <c r="A1008" s="85"/>
      <c r="B1008" s="43"/>
      <c r="C1008" s="43"/>
      <c r="D1008" s="43"/>
      <c r="E1008" s="43"/>
      <c r="F1008" s="43"/>
      <c r="G1008" s="47"/>
      <c r="H1008" s="43"/>
      <c r="I1008" s="43"/>
      <c r="J1008" s="43"/>
      <c r="K1008" s="43"/>
      <c r="L1008" s="43"/>
      <c r="M1008" s="43"/>
      <c r="N1008" s="43"/>
      <c r="O1008" s="43"/>
      <c r="P1008" s="43"/>
      <c r="Q1008" s="47"/>
      <c r="R1008" s="47"/>
      <c r="S1008" s="47"/>
      <c r="T1008" s="47"/>
      <c r="U1008" s="47"/>
      <c r="V1008" s="43"/>
      <c r="W1008" s="87"/>
      <c r="X1008" s="46"/>
    </row>
    <row r="1009" spans="1:26" ht="12.75" x14ac:dyDescent="0.2">
      <c r="A1009" s="82" t="s">
        <v>50</v>
      </c>
      <c r="B1009" s="38">
        <v>24324.77</v>
      </c>
      <c r="C1009" s="38">
        <v>161907.54</v>
      </c>
      <c r="D1009" s="38">
        <v>306500.59000000003</v>
      </c>
      <c r="E1009" s="38">
        <v>139270.23000000001</v>
      </c>
      <c r="F1009" s="38">
        <v>64156.1</v>
      </c>
      <c r="G1009" s="39">
        <f>SUM(B1009:F1009)</f>
        <v>696159.23</v>
      </c>
      <c r="H1009" s="38">
        <v>460193.19</v>
      </c>
      <c r="I1009" s="38">
        <v>432836.25</v>
      </c>
      <c r="J1009" s="38">
        <v>203409.93</v>
      </c>
      <c r="K1009" s="38">
        <v>189053.63</v>
      </c>
      <c r="L1009" s="38">
        <v>324503.71000000002</v>
      </c>
      <c r="M1009" s="38">
        <v>50490.91</v>
      </c>
      <c r="N1009" s="38">
        <v>0</v>
      </c>
      <c r="O1009" s="38">
        <v>246357.15</v>
      </c>
      <c r="P1009" s="38">
        <v>198338.27</v>
      </c>
      <c r="Q1009" s="39">
        <f>SUM(H1009:P1009)</f>
        <v>2105183.0399999996</v>
      </c>
      <c r="R1009" s="39">
        <v>537533.86</v>
      </c>
      <c r="S1009" s="39">
        <v>712244.6</v>
      </c>
      <c r="T1009" s="39">
        <v>0</v>
      </c>
      <c r="U1009" s="39">
        <v>0</v>
      </c>
      <c r="V1009" s="39">
        <v>0</v>
      </c>
      <c r="W1009" s="83">
        <f>Q1009+G1009+R1009+S1009+T1009+U1009+V1009</f>
        <v>4051120.7299999995</v>
      </c>
      <c r="X1009" s="41"/>
    </row>
    <row r="1010" spans="1:26" ht="12.75" x14ac:dyDescent="0.2">
      <c r="A1010" s="82" t="s">
        <v>42</v>
      </c>
      <c r="B1010" s="141">
        <f t="shared" ref="B1010:W1010" si="272">B1007+B1009-B961</f>
        <v>172673.72000000003</v>
      </c>
      <c r="C1010" s="141">
        <f t="shared" si="272"/>
        <v>1394591.8599999996</v>
      </c>
      <c r="D1010" s="141">
        <f t="shared" si="272"/>
        <v>2967767.7099999995</v>
      </c>
      <c r="E1010" s="141">
        <f t="shared" si="272"/>
        <v>3319924.3600000008</v>
      </c>
      <c r="F1010" s="141">
        <f t="shared" si="272"/>
        <v>820256.00999999919</v>
      </c>
      <c r="G1010" s="39">
        <f t="shared" si="272"/>
        <v>8680101.2900000028</v>
      </c>
      <c r="H1010" s="141">
        <f t="shared" si="272"/>
        <v>3096481.8000000007</v>
      </c>
      <c r="I1010" s="141">
        <f t="shared" si="272"/>
        <v>1733267.540000001</v>
      </c>
      <c r="J1010" s="141">
        <f t="shared" si="272"/>
        <v>1613347.6700000009</v>
      </c>
      <c r="K1010" s="141">
        <f t="shared" si="272"/>
        <v>1574522.6099999999</v>
      </c>
      <c r="L1010" s="141">
        <f t="shared" si="272"/>
        <v>2150044.9300000006</v>
      </c>
      <c r="M1010" s="141">
        <f t="shared" si="272"/>
        <v>199904.2100000004</v>
      </c>
      <c r="N1010" s="141">
        <f t="shared" si="272"/>
        <v>290055.75999999995</v>
      </c>
      <c r="O1010" s="141">
        <f t="shared" si="272"/>
        <v>3122690.8099999996</v>
      </c>
      <c r="P1010" s="141">
        <f t="shared" si="272"/>
        <v>1019179.1699999999</v>
      </c>
      <c r="Q1010" s="39">
        <f t="shared" si="272"/>
        <v>14799494.499999983</v>
      </c>
      <c r="R1010" s="39">
        <f t="shared" si="272"/>
        <v>2847613.2700000028</v>
      </c>
      <c r="S1010" s="39">
        <f t="shared" si="272"/>
        <v>2754367.5100000007</v>
      </c>
      <c r="T1010" s="39">
        <f t="shared" si="272"/>
        <v>3.092281986027956E-11</v>
      </c>
      <c r="U1010" s="39">
        <f t="shared" si="272"/>
        <v>1.0368239600211382E-10</v>
      </c>
      <c r="V1010" s="39">
        <f t="shared" si="272"/>
        <v>0</v>
      </c>
      <c r="W1010" s="140">
        <f t="shared" si="272"/>
        <v>29081576.57</v>
      </c>
      <c r="X1010" s="41">
        <f>W1009+X1007</f>
        <v>521028464.67840523</v>
      </c>
    </row>
    <row r="1011" spans="1:26" ht="12.75" x14ac:dyDescent="0.2">
      <c r="A1011" s="85"/>
      <c r="B1011" s="43"/>
      <c r="C1011" s="43"/>
      <c r="D1011" s="43"/>
      <c r="E1011" s="43"/>
      <c r="F1011" s="43"/>
      <c r="G1011" s="47"/>
      <c r="H1011" s="43"/>
      <c r="I1011" s="43"/>
      <c r="J1011" s="43"/>
      <c r="K1011" s="43"/>
      <c r="L1011" s="43"/>
      <c r="M1011" s="43"/>
      <c r="N1011" s="43"/>
      <c r="O1011" s="43"/>
      <c r="P1011" s="43"/>
      <c r="Q1011" s="47"/>
      <c r="R1011" s="47"/>
      <c r="S1011" s="47"/>
      <c r="T1011" s="47"/>
      <c r="U1011" s="47"/>
      <c r="V1011" s="43"/>
      <c r="W1011" s="87"/>
      <c r="X1011" s="46"/>
    </row>
    <row r="1012" spans="1:26" ht="12.75" x14ac:dyDescent="0.2">
      <c r="A1012" s="82" t="s">
        <v>51</v>
      </c>
      <c r="B1012" s="38">
        <v>24871.39</v>
      </c>
      <c r="C1012" s="38">
        <v>164464.39000000001</v>
      </c>
      <c r="D1012" s="38">
        <v>290681.89</v>
      </c>
      <c r="E1012" s="38">
        <v>143383.76</v>
      </c>
      <c r="F1012" s="38">
        <v>93596.37</v>
      </c>
      <c r="G1012" s="39">
        <f>SUM(B1012:F1012)</f>
        <v>716997.8</v>
      </c>
      <c r="H1012" s="38">
        <v>282062.92</v>
      </c>
      <c r="I1012" s="38">
        <v>26616.54</v>
      </c>
      <c r="J1012" s="38">
        <v>103828.31</v>
      </c>
      <c r="K1012" s="38">
        <v>0</v>
      </c>
      <c r="L1012" s="38">
        <v>251358.1</v>
      </c>
      <c r="M1012" s="38">
        <v>943.46</v>
      </c>
      <c r="N1012" s="38">
        <v>0</v>
      </c>
      <c r="O1012" s="38">
        <v>259516.07</v>
      </c>
      <c r="P1012" s="38">
        <v>0</v>
      </c>
      <c r="Q1012" s="39">
        <f>SUM(H1012:P1012)</f>
        <v>924325.39999999991</v>
      </c>
      <c r="R1012" s="39">
        <v>132687.72</v>
      </c>
      <c r="S1012" s="39">
        <v>375220.11</v>
      </c>
      <c r="T1012" s="39">
        <v>0</v>
      </c>
      <c r="U1012" s="39">
        <v>0</v>
      </c>
      <c r="V1012" s="39">
        <v>0</v>
      </c>
      <c r="W1012" s="83">
        <f>Q1012+G1012+R1012+S1012+T1012+U1012+V1012</f>
        <v>2149231.0299999998</v>
      </c>
      <c r="X1012" s="41"/>
      <c r="Z1012" s="220">
        <f>W1012-2149231.03</f>
        <v>0</v>
      </c>
    </row>
    <row r="1013" spans="1:26" ht="12.75" x14ac:dyDescent="0.2">
      <c r="A1013" s="82" t="s">
        <v>42</v>
      </c>
      <c r="B1013" s="141">
        <f t="shared" ref="B1013:W1013" si="273">B1010+B1012-B964</f>
        <v>171885.37000000005</v>
      </c>
      <c r="C1013" s="141">
        <f t="shared" si="273"/>
        <v>1479189.3199999996</v>
      </c>
      <c r="D1013" s="141">
        <f t="shared" si="273"/>
        <v>3030028.1999999997</v>
      </c>
      <c r="E1013" s="141">
        <f t="shared" si="273"/>
        <v>3114569.4400000009</v>
      </c>
      <c r="F1013" s="141">
        <f t="shared" si="273"/>
        <v>913852.37999999919</v>
      </c>
      <c r="G1013" s="39">
        <f t="shared" si="273"/>
        <v>8714412.3400000036</v>
      </c>
      <c r="H1013" s="141">
        <f t="shared" si="273"/>
        <v>3161816.8300000005</v>
      </c>
      <c r="I1013" s="141">
        <f t="shared" si="273"/>
        <v>1717993.6400000011</v>
      </c>
      <c r="J1013" s="141">
        <f t="shared" si="273"/>
        <v>1592573.6600000008</v>
      </c>
      <c r="K1013" s="141">
        <f t="shared" si="273"/>
        <v>1453568.5799999998</v>
      </c>
      <c r="L1013" s="141">
        <f t="shared" si="273"/>
        <v>2231811.6200000006</v>
      </c>
      <c r="M1013" s="141">
        <f t="shared" si="273"/>
        <v>188573.73000000039</v>
      </c>
      <c r="N1013" s="141">
        <f t="shared" si="273"/>
        <v>290055.75999999995</v>
      </c>
      <c r="O1013" s="141">
        <f t="shared" si="273"/>
        <v>3131757.8599999994</v>
      </c>
      <c r="P1013" s="141">
        <f t="shared" si="273"/>
        <v>937476.7699999999</v>
      </c>
      <c r="Q1013" s="39">
        <f t="shared" si="273"/>
        <v>14705628.449999984</v>
      </c>
      <c r="R1013" s="39">
        <f t="shared" si="273"/>
        <v>2807031.240000003</v>
      </c>
      <c r="S1013" s="39">
        <f t="shared" si="273"/>
        <v>3129587.6200000006</v>
      </c>
      <c r="T1013" s="39">
        <f t="shared" si="273"/>
        <v>3.092281986027956E-11</v>
      </c>
      <c r="U1013" s="39">
        <f t="shared" si="273"/>
        <v>1.0368239600211382E-10</v>
      </c>
      <c r="V1013" s="39">
        <f t="shared" si="273"/>
        <v>0</v>
      </c>
      <c r="W1013" s="140">
        <f t="shared" si="273"/>
        <v>29356659.650000002</v>
      </c>
      <c r="X1013" s="41">
        <f>W1012+X1010</f>
        <v>523177695.7084052</v>
      </c>
    </row>
    <row r="1014" spans="1:26" ht="12.75" x14ac:dyDescent="0.2">
      <c r="A1014" s="85"/>
      <c r="B1014" s="44"/>
      <c r="C1014" s="44"/>
      <c r="D1014" s="44"/>
      <c r="E1014" s="44"/>
      <c r="F1014" s="44"/>
      <c r="G1014" s="45"/>
      <c r="H1014" s="44"/>
      <c r="I1014" s="44"/>
      <c r="J1014" s="44"/>
      <c r="K1014" s="44"/>
      <c r="L1014" s="44"/>
      <c r="M1014" s="44"/>
      <c r="N1014" s="44"/>
      <c r="O1014" s="44"/>
      <c r="P1014" s="44"/>
      <c r="Q1014" s="45"/>
      <c r="R1014" s="47"/>
      <c r="S1014" s="47"/>
      <c r="T1014" s="47"/>
      <c r="U1014" s="47"/>
      <c r="V1014" s="43"/>
      <c r="W1014" s="86"/>
      <c r="X1014" s="46"/>
    </row>
    <row r="1015" spans="1:26" ht="12.75" x14ac:dyDescent="0.2">
      <c r="A1015" s="82" t="s">
        <v>52</v>
      </c>
      <c r="B1015" s="38">
        <v>4099.68</v>
      </c>
      <c r="C1015" s="38">
        <v>30136.52</v>
      </c>
      <c r="D1015" s="38">
        <v>175912.87</v>
      </c>
      <c r="E1015" s="38">
        <v>188142.77</v>
      </c>
      <c r="F1015" s="38">
        <v>85163.42</v>
      </c>
      <c r="G1015" s="39">
        <f>SUM(B1015:F1015)</f>
        <v>483455.25999999995</v>
      </c>
      <c r="H1015" s="38">
        <v>194336.25</v>
      </c>
      <c r="I1015" s="38">
        <v>0</v>
      </c>
      <c r="J1015" s="38">
        <v>20993.4</v>
      </c>
      <c r="K1015" s="38">
        <v>14906.76</v>
      </c>
      <c r="L1015" s="38">
        <v>210012.89</v>
      </c>
      <c r="M1015" s="38">
        <v>0</v>
      </c>
      <c r="N1015" s="38">
        <v>0</v>
      </c>
      <c r="O1015" s="38">
        <v>257797.94</v>
      </c>
      <c r="P1015" s="38">
        <v>0</v>
      </c>
      <c r="Q1015" s="39">
        <f>SUM(H1015:P1015)</f>
        <v>698047.24</v>
      </c>
      <c r="R1015" s="39">
        <v>229192.41</v>
      </c>
      <c r="S1015" s="39">
        <v>161128.14000000001</v>
      </c>
      <c r="T1015" s="39">
        <v>0</v>
      </c>
      <c r="U1015" s="39">
        <v>0</v>
      </c>
      <c r="V1015" s="39">
        <v>0</v>
      </c>
      <c r="W1015" s="83">
        <f>Q1015+G1015+R1015+S1015+T1015+U1015+V1015</f>
        <v>1571823.0499999998</v>
      </c>
      <c r="X1015" s="41"/>
      <c r="Z1015" s="220">
        <f>W1015-1571823.06</f>
        <v>-1.0000000242143869E-2</v>
      </c>
    </row>
    <row r="1016" spans="1:26" ht="12.75" x14ac:dyDescent="0.2">
      <c r="A1016" s="82" t="s">
        <v>42</v>
      </c>
      <c r="B1016" s="141">
        <f t="shared" ref="B1016:W1016" si="274">B1013+B1015-B967</f>
        <v>166976.84000000005</v>
      </c>
      <c r="C1016" s="141">
        <f t="shared" si="274"/>
        <v>1392494.3599999996</v>
      </c>
      <c r="D1016" s="141">
        <f t="shared" si="274"/>
        <v>2908692.21</v>
      </c>
      <c r="E1016" s="141">
        <f t="shared" si="274"/>
        <v>2932233.9000000008</v>
      </c>
      <c r="F1016" s="141">
        <f t="shared" si="274"/>
        <v>927523.62999999919</v>
      </c>
      <c r="G1016" s="39">
        <f t="shared" si="274"/>
        <v>8332808.5700000031</v>
      </c>
      <c r="H1016" s="141">
        <f t="shared" si="274"/>
        <v>3154016.2400000007</v>
      </c>
      <c r="I1016" s="141">
        <f t="shared" si="274"/>
        <v>1717993.6400000011</v>
      </c>
      <c r="J1016" s="141">
        <f t="shared" si="274"/>
        <v>1493685.9700000007</v>
      </c>
      <c r="K1016" s="141">
        <f t="shared" si="274"/>
        <v>1346361.0699999998</v>
      </c>
      <c r="L1016" s="141">
        <f t="shared" si="274"/>
        <v>2226833.9000000008</v>
      </c>
      <c r="M1016" s="141">
        <f t="shared" si="274"/>
        <v>185024.0500000004</v>
      </c>
      <c r="N1016" s="141">
        <f t="shared" si="274"/>
        <v>290055.75999999995</v>
      </c>
      <c r="O1016" s="141">
        <f t="shared" si="274"/>
        <v>3145622.9999999995</v>
      </c>
      <c r="P1016" s="141">
        <f t="shared" si="274"/>
        <v>885352.7</v>
      </c>
      <c r="Q1016" s="39">
        <f t="shared" si="274"/>
        <v>14444946.329999985</v>
      </c>
      <c r="R1016" s="39">
        <f t="shared" si="274"/>
        <v>2826784.430000003</v>
      </c>
      <c r="S1016" s="39">
        <f t="shared" si="274"/>
        <v>3290715.7600000007</v>
      </c>
      <c r="T1016" s="39">
        <f t="shared" si="274"/>
        <v>3.092281986027956E-11</v>
      </c>
      <c r="U1016" s="39">
        <f t="shared" si="274"/>
        <v>1.0368239600211382E-10</v>
      </c>
      <c r="V1016" s="39">
        <f t="shared" si="274"/>
        <v>0</v>
      </c>
      <c r="W1016" s="140">
        <f t="shared" si="274"/>
        <v>28895255.090000004</v>
      </c>
      <c r="X1016" s="41">
        <f>W1015+X1013</f>
        <v>524749518.75840521</v>
      </c>
    </row>
    <row r="1017" spans="1:26" ht="12.75" x14ac:dyDescent="0.2">
      <c r="A1017" s="85"/>
      <c r="B1017" s="43"/>
      <c r="C1017" s="43"/>
      <c r="D1017" s="43"/>
      <c r="E1017" s="43"/>
      <c r="F1017" s="43"/>
      <c r="G1017" s="47"/>
      <c r="H1017" s="43"/>
      <c r="I1017" s="43"/>
      <c r="J1017" s="43"/>
      <c r="K1017" s="43"/>
      <c r="L1017" s="43"/>
      <c r="M1017" s="43"/>
      <c r="N1017" s="43"/>
      <c r="O1017" s="43"/>
      <c r="P1017" s="43"/>
      <c r="Q1017" s="47"/>
      <c r="R1017" s="47"/>
      <c r="S1017" s="47"/>
      <c r="T1017" s="47"/>
      <c r="U1017" s="47"/>
      <c r="V1017" s="43"/>
      <c r="W1017" s="87"/>
      <c r="X1017" s="46"/>
    </row>
    <row r="1018" spans="1:26" ht="12.75" x14ac:dyDescent="0.2">
      <c r="A1018" s="82" t="s">
        <v>53</v>
      </c>
      <c r="B1018" s="38">
        <v>21591.65</v>
      </c>
      <c r="C1018" s="38">
        <v>0</v>
      </c>
      <c r="D1018" s="38">
        <v>185386.02</v>
      </c>
      <c r="E1018" s="38">
        <v>310822.81</v>
      </c>
      <c r="F1018" s="38">
        <v>108873.77</v>
      </c>
      <c r="G1018" s="39">
        <f>SUM(B1018:F1018)</f>
        <v>626674.25</v>
      </c>
      <c r="H1018" s="38">
        <v>237061.07</v>
      </c>
      <c r="I1018" s="38">
        <v>0</v>
      </c>
      <c r="J1018" s="38">
        <v>0</v>
      </c>
      <c r="K1018" s="38">
        <v>0</v>
      </c>
      <c r="L1018" s="38">
        <v>41855.21</v>
      </c>
      <c r="M1018" s="38">
        <v>0</v>
      </c>
      <c r="N1018" s="38">
        <v>0</v>
      </c>
      <c r="O1018" s="293">
        <v>149439.72</v>
      </c>
      <c r="P1018" s="38">
        <v>0</v>
      </c>
      <c r="Q1018" s="39">
        <f>SUM(H1018:P1018)</f>
        <v>428356</v>
      </c>
      <c r="R1018" s="39">
        <v>363247.44</v>
      </c>
      <c r="S1018" s="292">
        <v>370423.11</v>
      </c>
      <c r="T1018" s="39">
        <v>0</v>
      </c>
      <c r="U1018" s="39">
        <v>0</v>
      </c>
      <c r="V1018" s="39">
        <v>0</v>
      </c>
      <c r="W1018" s="83">
        <f>Q1018+G1018+R1018+S1018+T1018+U1018+V1018</f>
        <v>1788700.7999999998</v>
      </c>
      <c r="X1018" s="41"/>
      <c r="Z1018" s="220">
        <f>W1018-1788700.8</f>
        <v>0</v>
      </c>
    </row>
    <row r="1019" spans="1:26" ht="13.5" thickBot="1" x14ac:dyDescent="0.25">
      <c r="A1019" s="88" t="s">
        <v>42</v>
      </c>
      <c r="B1019" s="143">
        <f t="shared" ref="B1019:W1019" si="275">B1016+B1018-B970</f>
        <v>188568.49000000005</v>
      </c>
      <c r="C1019" s="143">
        <f t="shared" si="275"/>
        <v>1297052.5299999996</v>
      </c>
      <c r="D1019" s="143">
        <f t="shared" si="275"/>
        <v>2886047.51</v>
      </c>
      <c r="E1019" s="143">
        <f t="shared" si="275"/>
        <v>3022663.100000001</v>
      </c>
      <c r="F1019" s="143">
        <f t="shared" si="275"/>
        <v>958707.86999999918</v>
      </c>
      <c r="G1019" s="50">
        <f t="shared" si="275"/>
        <v>8357927.1300000045</v>
      </c>
      <c r="H1019" s="143">
        <f t="shared" si="275"/>
        <v>3282752.9900000007</v>
      </c>
      <c r="I1019" s="143">
        <f t="shared" si="275"/>
        <v>1717046.790000001</v>
      </c>
      <c r="J1019" s="143">
        <f t="shared" si="275"/>
        <v>1379207.2000000007</v>
      </c>
      <c r="K1019" s="143">
        <f t="shared" si="275"/>
        <v>1233841.2499999998</v>
      </c>
      <c r="L1019" s="198">
        <f t="shared" si="275"/>
        <v>2178908.5200000009</v>
      </c>
      <c r="M1019" s="143">
        <f t="shared" si="275"/>
        <v>185024.0500000004</v>
      </c>
      <c r="N1019" s="143">
        <f t="shared" si="275"/>
        <v>290055.75999999995</v>
      </c>
      <c r="O1019" s="143">
        <f t="shared" si="275"/>
        <v>3080098.8899999997</v>
      </c>
      <c r="P1019" s="143">
        <f t="shared" si="275"/>
        <v>885352.7</v>
      </c>
      <c r="Q1019" s="50">
        <f t="shared" si="275"/>
        <v>14232288.149999985</v>
      </c>
      <c r="R1019" s="50">
        <f t="shared" si="275"/>
        <v>2988271.8100000028</v>
      </c>
      <c r="S1019" s="50">
        <f t="shared" si="275"/>
        <v>3661138.8700000006</v>
      </c>
      <c r="T1019" s="50">
        <f t="shared" si="275"/>
        <v>3.092281986027956E-11</v>
      </c>
      <c r="U1019" s="50">
        <f t="shared" si="275"/>
        <v>1.0368239600211382E-10</v>
      </c>
      <c r="V1019" s="50">
        <f t="shared" si="275"/>
        <v>0</v>
      </c>
      <c r="W1019" s="144">
        <f t="shared" si="275"/>
        <v>29239625.960000005</v>
      </c>
      <c r="X1019" s="51">
        <f>W1018+X1016</f>
        <v>526538219.55840522</v>
      </c>
    </row>
    <row r="1020" spans="1:26" ht="12.75" x14ac:dyDescent="0.2">
      <c r="A1020" s="92"/>
      <c r="B1020" s="52" t="s">
        <v>221</v>
      </c>
      <c r="C1020" s="90"/>
      <c r="D1020" s="90"/>
      <c r="E1020" s="90"/>
      <c r="F1020" s="90"/>
      <c r="G1020" s="90"/>
      <c r="I1020" s="90"/>
      <c r="J1020" s="90"/>
      <c r="K1020" s="90"/>
      <c r="L1020" s="90"/>
      <c r="M1020" s="90"/>
      <c r="N1020" s="90"/>
      <c r="O1020" s="171"/>
      <c r="P1020" s="90"/>
      <c r="Q1020" s="282" t="s">
        <v>235</v>
      </c>
      <c r="S1020" s="52"/>
      <c r="T1020" s="52"/>
      <c r="U1020" s="52"/>
      <c r="V1020" s="52"/>
      <c r="W1020" s="90"/>
      <c r="X1020" s="91"/>
    </row>
    <row r="1021" spans="1:26" ht="12.75" x14ac:dyDescent="0.2">
      <c r="B1021" s="281"/>
      <c r="C1021" s="137" t="s">
        <v>229</v>
      </c>
      <c r="L1021" s="1" t="s">
        <v>224</v>
      </c>
      <c r="M1021" s="1" t="s">
        <v>225</v>
      </c>
      <c r="P1021" t="s">
        <v>122</v>
      </c>
      <c r="X1021" s="9"/>
    </row>
    <row r="1022" spans="1:26" ht="12" x14ac:dyDescent="0.2">
      <c r="B1022" s="274" t="s">
        <v>60</v>
      </c>
      <c r="C1022" s="274"/>
      <c r="D1022" s="274"/>
      <c r="E1022" s="274"/>
      <c r="F1022" s="274"/>
      <c r="G1022" s="274"/>
      <c r="H1022" s="274"/>
      <c r="I1022" s="274"/>
      <c r="J1022" s="274"/>
      <c r="L1022" s="275">
        <f>I1019+J1019+K1019+O1019</f>
        <v>7410194.1300000008</v>
      </c>
      <c r="M1022" s="275">
        <f>L1019+M1019+N1019+P1019</f>
        <v>3539341.0300000012</v>
      </c>
    </row>
    <row r="1023" spans="1:26" x14ac:dyDescent="0.2">
      <c r="B1023" s="286"/>
      <c r="C1023" s="137" t="s">
        <v>231</v>
      </c>
      <c r="H1023" s="220">
        <f>H955+H958+H961+H964+H967+H970+H985+H988+H991+H994+H997+H1000</f>
        <v>2586241.35</v>
      </c>
      <c r="I1023" s="220">
        <f t="shared" ref="I1023:P1023" si="276">I955+I958+I961+I964+I967+I970+I985+I988+I991+I994+I997+I1000</f>
        <v>1369929.8199999998</v>
      </c>
      <c r="J1023" s="220">
        <f t="shared" si="276"/>
        <v>1664167.9200000004</v>
      </c>
      <c r="K1023" s="220">
        <f t="shared" si="276"/>
        <v>1623100.95</v>
      </c>
      <c r="L1023" s="220">
        <f t="shared" si="276"/>
        <v>1953840.62</v>
      </c>
      <c r="M1023" s="220">
        <f t="shared" si="276"/>
        <v>130092.34000000001</v>
      </c>
      <c r="N1023" s="220">
        <f t="shared" si="276"/>
        <v>344989.74</v>
      </c>
      <c r="O1023" s="220">
        <f t="shared" si="276"/>
        <v>3095714.3200000003</v>
      </c>
      <c r="P1023" s="220">
        <f t="shared" si="276"/>
        <v>768688.85</v>
      </c>
    </row>
    <row r="1024" spans="1:26" ht="27" x14ac:dyDescent="0.35">
      <c r="A1024" s="294" t="s">
        <v>236</v>
      </c>
      <c r="B1024" s="54"/>
      <c r="C1024" s="122"/>
      <c r="D1024" s="58"/>
      <c r="E1024" s="127"/>
      <c r="F1024" s="128"/>
      <c r="G1024" s="127"/>
      <c r="H1024" s="129"/>
      <c r="I1024" s="130"/>
      <c r="J1024" s="130"/>
      <c r="K1024" s="130"/>
      <c r="L1024" s="130"/>
      <c r="M1024" s="130"/>
      <c r="N1024" s="130"/>
      <c r="O1024" s="130"/>
      <c r="P1024" s="130"/>
      <c r="Q1024" s="130"/>
      <c r="R1024" s="128"/>
      <c r="S1024" s="128"/>
      <c r="T1024" s="128"/>
      <c r="U1024" s="128"/>
      <c r="V1024" s="128"/>
      <c r="W1024" s="130"/>
      <c r="X1024" s="131"/>
    </row>
    <row r="1025" spans="1:26" ht="27" x14ac:dyDescent="0.35">
      <c r="A1025" s="295" t="s">
        <v>60</v>
      </c>
      <c r="B1025" s="170"/>
      <c r="C1025" s="54"/>
      <c r="D1025" s="53"/>
      <c r="E1025" s="53"/>
      <c r="F1025" s="132"/>
      <c r="H1025" s="55"/>
      <c r="I1025" s="55"/>
      <c r="J1025" s="54"/>
      <c r="K1025" s="56"/>
      <c r="L1025" s="57"/>
      <c r="M1025" s="54"/>
      <c r="N1025" s="54" t="s">
        <v>60</v>
      </c>
      <c r="O1025" s="54"/>
      <c r="P1025" s="54"/>
      <c r="Q1025" s="57"/>
      <c r="R1025" s="58"/>
      <c r="S1025" s="58"/>
      <c r="T1025" s="58"/>
      <c r="U1025" s="58"/>
      <c r="V1025" s="58"/>
      <c r="W1025" s="54"/>
      <c r="X1025" s="54"/>
    </row>
    <row r="1026" spans="1:26" ht="27" x14ac:dyDescent="0.35">
      <c r="A1026" s="296" t="s">
        <v>6</v>
      </c>
      <c r="B1026" s="122"/>
      <c r="C1026" s="122"/>
      <c r="D1026" s="122"/>
      <c r="E1026" s="122"/>
      <c r="F1026" s="122"/>
      <c r="H1026" s="122"/>
      <c r="I1026" s="122"/>
      <c r="J1026" s="122"/>
      <c r="K1026" s="122"/>
      <c r="L1026" s="122"/>
      <c r="M1026" s="122"/>
      <c r="N1026" s="122"/>
      <c r="O1026" s="122"/>
      <c r="P1026" s="122"/>
      <c r="Q1026" s="122"/>
      <c r="R1026" s="122"/>
      <c r="S1026" s="122"/>
      <c r="T1026" s="122"/>
      <c r="U1026" s="122"/>
      <c r="V1026" s="122"/>
      <c r="W1026" s="142"/>
      <c r="X1026" s="122"/>
    </row>
    <row r="1027" spans="1:26" ht="12" thickBot="1" x14ac:dyDescent="0.25">
      <c r="B1027" s="2"/>
      <c r="C1027" s="2"/>
      <c r="D1027" s="2"/>
      <c r="E1027" s="2"/>
      <c r="F1027" s="59"/>
      <c r="G1027" s="2"/>
      <c r="H1027" s="2"/>
      <c r="I1027" s="2"/>
      <c r="J1027" s="2"/>
      <c r="K1027" s="2"/>
      <c r="L1027" s="2"/>
      <c r="M1027" s="2"/>
      <c r="N1027" s="2"/>
      <c r="O1027" s="2"/>
      <c r="P1027" s="2"/>
      <c r="Q1027" s="2" t="s">
        <v>60</v>
      </c>
      <c r="W1027" s="2"/>
      <c r="X1027" s="57"/>
    </row>
    <row r="1028" spans="1:26" x14ac:dyDescent="0.2">
      <c r="A1028" s="14"/>
      <c r="B1028" s="15"/>
      <c r="C1028" s="15"/>
      <c r="D1028" s="15"/>
      <c r="E1028" s="15"/>
      <c r="F1028" s="15"/>
      <c r="G1028" s="15"/>
      <c r="H1028" s="15"/>
      <c r="I1028" s="15"/>
      <c r="J1028" s="15"/>
      <c r="K1028" s="15"/>
      <c r="L1028" s="15"/>
      <c r="M1028" s="15"/>
      <c r="N1028" s="15"/>
      <c r="O1028" s="15"/>
      <c r="P1028" s="15"/>
      <c r="Q1028" s="15"/>
      <c r="R1028" s="16"/>
      <c r="S1028" s="16"/>
      <c r="T1028" s="16"/>
      <c r="U1028" s="16"/>
      <c r="V1028" s="16"/>
      <c r="W1028" s="15"/>
      <c r="X1028" s="60" t="s">
        <v>60</v>
      </c>
    </row>
    <row r="1029" spans="1:26" ht="13.5" thickBot="1" x14ac:dyDescent="0.25">
      <c r="A1029" s="18"/>
      <c r="B1029" s="61"/>
      <c r="C1029" s="62"/>
      <c r="D1029" s="63" t="s">
        <v>73</v>
      </c>
      <c r="E1029" s="64"/>
      <c r="F1029" s="64"/>
      <c r="G1029" s="64"/>
      <c r="H1029" s="61"/>
      <c r="I1029" s="64"/>
      <c r="J1029" s="64"/>
      <c r="K1029" s="65" t="s">
        <v>74</v>
      </c>
      <c r="L1029" s="64"/>
      <c r="M1029" s="64"/>
      <c r="N1029" s="64"/>
      <c r="O1029" s="64"/>
      <c r="P1029" s="64"/>
      <c r="Q1029" s="138"/>
      <c r="R1029" s="64"/>
      <c r="S1029" s="64"/>
      <c r="T1029" s="64"/>
      <c r="U1029" s="64"/>
      <c r="V1029" s="64"/>
      <c r="W1029" s="66"/>
      <c r="X1029" s="36" t="s">
        <v>60</v>
      </c>
    </row>
    <row r="1030" spans="1:26" ht="12" x14ac:dyDescent="0.2">
      <c r="A1030" s="67"/>
      <c r="B1030" s="68" t="s">
        <v>11</v>
      </c>
      <c r="C1030" s="68" t="s">
        <v>12</v>
      </c>
      <c r="D1030" s="68" t="s">
        <v>13</v>
      </c>
      <c r="E1030" s="68" t="s">
        <v>14</v>
      </c>
      <c r="F1030" s="68" t="s">
        <v>15</v>
      </c>
      <c r="G1030" s="69" t="s">
        <v>16</v>
      </c>
      <c r="H1030" s="68" t="s">
        <v>17</v>
      </c>
      <c r="I1030" s="70"/>
      <c r="J1030" s="70"/>
      <c r="K1030" s="70"/>
      <c r="L1030" s="70"/>
      <c r="M1030" s="68" t="s">
        <v>18</v>
      </c>
      <c r="N1030" s="68" t="s">
        <v>19</v>
      </c>
      <c r="O1030" s="68" t="s">
        <v>20</v>
      </c>
      <c r="P1030" s="68" t="s">
        <v>21</v>
      </c>
      <c r="Q1030" s="69" t="s">
        <v>16</v>
      </c>
      <c r="R1030" s="203" t="s">
        <v>69</v>
      </c>
      <c r="S1030" s="202" t="s">
        <v>126</v>
      </c>
      <c r="T1030" s="202" t="s">
        <v>138</v>
      </c>
      <c r="U1030" s="202" t="s">
        <v>134</v>
      </c>
      <c r="V1030" s="202" t="s">
        <v>136</v>
      </c>
      <c r="W1030" s="72" t="s">
        <v>7</v>
      </c>
      <c r="X1030" s="73" t="s">
        <v>70</v>
      </c>
    </row>
    <row r="1031" spans="1:26" ht="12.75" thickBot="1" x14ac:dyDescent="0.25">
      <c r="A1031" s="75"/>
      <c r="B1031" s="76" t="s">
        <v>23</v>
      </c>
      <c r="C1031" s="76" t="s">
        <v>24</v>
      </c>
      <c r="D1031" s="76" t="s">
        <v>25</v>
      </c>
      <c r="E1031" s="76" t="s">
        <v>26</v>
      </c>
      <c r="F1031" s="76" t="s">
        <v>27</v>
      </c>
      <c r="G1031" s="77" t="s">
        <v>28</v>
      </c>
      <c r="H1031" s="76" t="s">
        <v>29</v>
      </c>
      <c r="I1031" s="76" t="s">
        <v>30</v>
      </c>
      <c r="J1031" s="76" t="s">
        <v>31</v>
      </c>
      <c r="K1031" s="76" t="s">
        <v>32</v>
      </c>
      <c r="L1031" s="76" t="s">
        <v>33</v>
      </c>
      <c r="M1031" s="76" t="s">
        <v>34</v>
      </c>
      <c r="N1031" s="76" t="s">
        <v>35</v>
      </c>
      <c r="O1031" s="76" t="s">
        <v>36</v>
      </c>
      <c r="P1031" s="76" t="s">
        <v>37</v>
      </c>
      <c r="Q1031" s="77" t="s">
        <v>28</v>
      </c>
      <c r="R1031" s="204" t="s">
        <v>82</v>
      </c>
      <c r="S1031" s="78" t="s">
        <v>130</v>
      </c>
      <c r="T1031" s="78" t="s">
        <v>139</v>
      </c>
      <c r="U1031" s="78" t="s">
        <v>135</v>
      </c>
      <c r="V1031" s="78" t="s">
        <v>189</v>
      </c>
      <c r="W1031" s="79" t="s">
        <v>10</v>
      </c>
      <c r="X1031" s="80" t="s">
        <v>71</v>
      </c>
    </row>
    <row r="1032" spans="1:26" x14ac:dyDescent="0.2">
      <c r="A1032" s="18"/>
      <c r="B1032" s="33"/>
      <c r="C1032" s="33"/>
      <c r="D1032" s="33"/>
      <c r="E1032" s="33"/>
      <c r="F1032" s="33"/>
      <c r="G1032" s="34"/>
      <c r="H1032" s="33"/>
      <c r="I1032" s="33"/>
      <c r="J1032" s="33"/>
      <c r="K1032" s="33"/>
      <c r="L1032" s="33"/>
      <c r="M1032" s="33"/>
      <c r="N1032" s="33"/>
      <c r="O1032" s="33"/>
      <c r="P1032" s="33"/>
      <c r="Q1032" s="34"/>
      <c r="R1032" s="205"/>
      <c r="S1032" s="214"/>
      <c r="T1032" s="214"/>
      <c r="U1032" s="214"/>
      <c r="V1032" s="35"/>
      <c r="W1032" s="81"/>
      <c r="X1032" s="36"/>
    </row>
    <row r="1033" spans="1:26" ht="12.75" x14ac:dyDescent="0.2">
      <c r="A1033" s="82" t="s">
        <v>41</v>
      </c>
      <c r="B1033" s="38">
        <v>32022.43</v>
      </c>
      <c r="C1033" s="38">
        <v>0</v>
      </c>
      <c r="D1033" s="38">
        <v>280810.23999999999</v>
      </c>
      <c r="E1033" s="38">
        <v>65338.54</v>
      </c>
      <c r="F1033" s="38">
        <v>15764.14</v>
      </c>
      <c r="G1033" s="39">
        <f>SUM(B1033:F1033)</f>
        <v>393935.35</v>
      </c>
      <c r="H1033" s="38">
        <v>255521.75</v>
      </c>
      <c r="I1033" s="38">
        <v>4999.17</v>
      </c>
      <c r="J1033" s="38">
        <v>0</v>
      </c>
      <c r="K1033" s="38">
        <v>0</v>
      </c>
      <c r="L1033" s="38">
        <v>117745.48</v>
      </c>
      <c r="M1033" s="38">
        <v>0</v>
      </c>
      <c r="N1033" s="38">
        <v>0</v>
      </c>
      <c r="O1033" s="38">
        <v>198365.57</v>
      </c>
      <c r="P1033" s="38">
        <v>0</v>
      </c>
      <c r="Q1033" s="39">
        <f>SUM(H1033:P1033)</f>
        <v>576631.97</v>
      </c>
      <c r="R1033" s="39">
        <v>415248.53</v>
      </c>
      <c r="S1033" s="39">
        <v>307303.37</v>
      </c>
      <c r="T1033" s="39">
        <v>0</v>
      </c>
      <c r="U1033" s="39">
        <v>0</v>
      </c>
      <c r="V1033" s="39">
        <v>0</v>
      </c>
      <c r="W1033" s="83">
        <f>Q1033+G1033+R1033+S1033+T1033+U1033+V1033</f>
        <v>1693119.2200000002</v>
      </c>
      <c r="X1033" s="41"/>
      <c r="Z1033" s="220">
        <f>W1033-1693119.23</f>
        <v>-9.9999997764825821E-3</v>
      </c>
    </row>
    <row r="1034" spans="1:26" ht="12.75" x14ac:dyDescent="0.2">
      <c r="A1034" s="82" t="s">
        <v>42</v>
      </c>
      <c r="B1034" s="141">
        <f t="shared" ref="B1034:W1034" si="277">B1019+B1033-B985</f>
        <v>220590.92000000004</v>
      </c>
      <c r="C1034" s="141">
        <f t="shared" si="277"/>
        <v>1260435.0999999996</v>
      </c>
      <c r="D1034" s="141">
        <f t="shared" si="277"/>
        <v>2962333.17</v>
      </c>
      <c r="E1034" s="141">
        <f t="shared" si="277"/>
        <v>2923044.6400000011</v>
      </c>
      <c r="F1034" s="141">
        <f t="shared" si="277"/>
        <v>915459.31999999913</v>
      </c>
      <c r="G1034" s="172">
        <f t="shared" si="277"/>
        <v>8281863.1500000041</v>
      </c>
      <c r="H1034" s="141">
        <f t="shared" si="277"/>
        <v>3302024.3400000008</v>
      </c>
      <c r="I1034" s="141">
        <f t="shared" si="277"/>
        <v>1722045.9600000009</v>
      </c>
      <c r="J1034" s="141">
        <f t="shared" si="277"/>
        <v>1361512.8000000007</v>
      </c>
      <c r="K1034" s="141">
        <f t="shared" si="277"/>
        <v>1215620.6799999997</v>
      </c>
      <c r="L1034" s="141">
        <f t="shared" si="277"/>
        <v>2079932.6500000008</v>
      </c>
      <c r="M1034" s="141">
        <f t="shared" si="277"/>
        <v>185024.0500000004</v>
      </c>
      <c r="N1034" s="141">
        <f t="shared" si="277"/>
        <v>290055.75999999995</v>
      </c>
      <c r="O1034" s="141">
        <f t="shared" si="277"/>
        <v>3135842.5499999993</v>
      </c>
      <c r="P1034" s="141">
        <f t="shared" si="277"/>
        <v>885352.7</v>
      </c>
      <c r="Q1034" s="39">
        <f t="shared" si="277"/>
        <v>14177411.489999985</v>
      </c>
      <c r="R1034" s="172">
        <f t="shared" si="277"/>
        <v>3190332.7200000025</v>
      </c>
      <c r="S1034" s="172">
        <f t="shared" si="277"/>
        <v>3968442.2400000007</v>
      </c>
      <c r="T1034" s="172">
        <f t="shared" si="277"/>
        <v>3.092281986027956E-11</v>
      </c>
      <c r="U1034" s="172">
        <f t="shared" si="277"/>
        <v>1.0368239600211382E-10</v>
      </c>
      <c r="V1034" s="172">
        <f t="shared" si="277"/>
        <v>0</v>
      </c>
      <c r="W1034" s="83">
        <f t="shared" si="277"/>
        <v>29618049.600000001</v>
      </c>
      <c r="X1034" s="41">
        <f>X1019+W1033</f>
        <v>528231338.77840525</v>
      </c>
    </row>
    <row r="1035" spans="1:26" ht="12.75" x14ac:dyDescent="0.2">
      <c r="A1035" s="85"/>
      <c r="B1035" s="38"/>
      <c r="C1035" s="38"/>
      <c r="D1035" s="38"/>
      <c r="E1035" s="38"/>
      <c r="F1035" s="38"/>
      <c r="G1035" s="39"/>
      <c r="H1035" s="38"/>
      <c r="I1035" s="38"/>
      <c r="J1035" s="38"/>
      <c r="K1035" s="38"/>
      <c r="L1035" s="38"/>
      <c r="M1035" s="38"/>
      <c r="N1035" s="38"/>
      <c r="O1035" s="38"/>
      <c r="P1035" s="38"/>
      <c r="Q1035" s="39" t="s">
        <v>60</v>
      </c>
      <c r="R1035" s="47"/>
      <c r="S1035" s="47"/>
      <c r="T1035" s="47"/>
      <c r="U1035" s="47"/>
      <c r="V1035" s="43"/>
      <c r="W1035" s="83"/>
      <c r="X1035" s="41"/>
    </row>
    <row r="1036" spans="1:26" ht="12.75" x14ac:dyDescent="0.2">
      <c r="A1036" s="82" t="s">
        <v>43</v>
      </c>
      <c r="B1036" s="38">
        <v>6295.01</v>
      </c>
      <c r="C1036" s="38">
        <v>63192.34</v>
      </c>
      <c r="D1036" s="38">
        <v>85369.29</v>
      </c>
      <c r="E1036" s="38">
        <v>52318.67</v>
      </c>
      <c r="F1036" s="38">
        <v>0</v>
      </c>
      <c r="G1036" s="39">
        <f>SUM(B1036:F1036)</f>
        <v>207175.31</v>
      </c>
      <c r="H1036" s="38">
        <v>53903.38</v>
      </c>
      <c r="I1036" s="38">
        <v>0</v>
      </c>
      <c r="J1036" s="38">
        <v>70099.710000000006</v>
      </c>
      <c r="K1036" s="38">
        <v>68610.33</v>
      </c>
      <c r="L1036" s="38">
        <v>0</v>
      </c>
      <c r="M1036" s="38">
        <v>0</v>
      </c>
      <c r="N1036" s="38">
        <v>88849.36</v>
      </c>
      <c r="O1036" s="38">
        <v>240492.48</v>
      </c>
      <c r="P1036" s="38">
        <v>0</v>
      </c>
      <c r="Q1036" s="39">
        <f>SUM(H1036:P1036)</f>
        <v>521955.26</v>
      </c>
      <c r="R1036" s="39">
        <v>378112.62</v>
      </c>
      <c r="S1036" s="39">
        <v>341617.37</v>
      </c>
      <c r="T1036" s="39">
        <v>0</v>
      </c>
      <c r="U1036" s="39">
        <v>0</v>
      </c>
      <c r="V1036" s="39">
        <v>0</v>
      </c>
      <c r="W1036" s="83">
        <f>Q1036+G1036+R1036+S1036+T1036+U1036+V1036</f>
        <v>1448860.56</v>
      </c>
      <c r="X1036" s="41"/>
      <c r="Z1036" s="220">
        <f>W1036-1448860.56</f>
        <v>0</v>
      </c>
    </row>
    <row r="1037" spans="1:26" ht="12.75" x14ac:dyDescent="0.2">
      <c r="A1037" s="82" t="s">
        <v>42</v>
      </c>
      <c r="B1037" s="141">
        <f t="shared" ref="B1037:W1037" si="278">B1034+B1036-B988</f>
        <v>213237.13000000006</v>
      </c>
      <c r="C1037" s="141">
        <f t="shared" si="278"/>
        <v>1281347.1399999997</v>
      </c>
      <c r="D1037" s="141">
        <f t="shared" si="278"/>
        <v>2838390.17</v>
      </c>
      <c r="E1037" s="141">
        <f t="shared" si="278"/>
        <v>2737082.9800000009</v>
      </c>
      <c r="F1037" s="141">
        <f t="shared" si="278"/>
        <v>853733.67999999912</v>
      </c>
      <c r="G1037" s="39">
        <f t="shared" si="278"/>
        <v>7923791.1000000043</v>
      </c>
      <c r="H1037" s="141">
        <f t="shared" si="278"/>
        <v>3112475.5500000007</v>
      </c>
      <c r="I1037" s="141">
        <f t="shared" si="278"/>
        <v>1722045.9600000009</v>
      </c>
      <c r="J1037" s="141">
        <f t="shared" si="278"/>
        <v>1431612.5100000007</v>
      </c>
      <c r="K1037" s="141">
        <f t="shared" si="278"/>
        <v>1284231.0099999998</v>
      </c>
      <c r="L1037" s="141">
        <f t="shared" si="278"/>
        <v>2047298.9900000009</v>
      </c>
      <c r="M1037" s="141">
        <f t="shared" si="278"/>
        <v>185024.0500000004</v>
      </c>
      <c r="N1037" s="141">
        <f t="shared" si="278"/>
        <v>378905.11999999994</v>
      </c>
      <c r="O1037" s="141">
        <f t="shared" si="278"/>
        <v>3175155.8899999992</v>
      </c>
      <c r="P1037" s="141">
        <f t="shared" si="278"/>
        <v>885352.7</v>
      </c>
      <c r="Q1037" s="39">
        <f t="shared" si="278"/>
        <v>14222101.779999984</v>
      </c>
      <c r="R1037" s="39">
        <f t="shared" si="278"/>
        <v>3371801.3900000025</v>
      </c>
      <c r="S1037" s="39">
        <f t="shared" si="278"/>
        <v>4210474.29</v>
      </c>
      <c r="T1037" s="39">
        <f t="shared" si="278"/>
        <v>3.092281986027956E-11</v>
      </c>
      <c r="U1037" s="39">
        <f t="shared" si="278"/>
        <v>1.0368239600211382E-10</v>
      </c>
      <c r="V1037" s="39">
        <f t="shared" si="278"/>
        <v>0</v>
      </c>
      <c r="W1037" s="140">
        <f t="shared" si="278"/>
        <v>29728168.559999999</v>
      </c>
      <c r="X1037" s="41">
        <f>W1036+X1034</f>
        <v>529680199.33840525</v>
      </c>
    </row>
    <row r="1038" spans="1:26" ht="12.75" x14ac:dyDescent="0.2">
      <c r="A1038" s="85"/>
      <c r="B1038" s="44"/>
      <c r="C1038" s="44"/>
      <c r="D1038" s="44"/>
      <c r="E1038" s="44"/>
      <c r="F1038" s="44"/>
      <c r="G1038" s="45"/>
      <c r="H1038" s="44"/>
      <c r="I1038" s="44"/>
      <c r="J1038" s="44"/>
      <c r="K1038" s="44"/>
      <c r="L1038" s="44"/>
      <c r="M1038" s="44"/>
      <c r="N1038" s="44"/>
      <c r="O1038" s="44"/>
      <c r="P1038" s="44"/>
      <c r="Q1038" s="45"/>
      <c r="R1038" s="47"/>
      <c r="S1038" s="47"/>
      <c r="T1038" s="47"/>
      <c r="U1038" s="47"/>
      <c r="V1038" s="43"/>
      <c r="W1038" s="86"/>
      <c r="X1038" s="46"/>
    </row>
    <row r="1039" spans="1:26" ht="12.75" x14ac:dyDescent="0.2">
      <c r="A1039" s="82" t="s">
        <v>44</v>
      </c>
      <c r="B1039" s="38">
        <v>0</v>
      </c>
      <c r="C1039" s="38">
        <v>117081.16</v>
      </c>
      <c r="D1039" s="38">
        <v>278268.46999999997</v>
      </c>
      <c r="E1039" s="38">
        <v>109190.83</v>
      </c>
      <c r="F1039" s="38">
        <v>0</v>
      </c>
      <c r="G1039" s="39">
        <f>SUM(B1039:F1039)</f>
        <v>504540.46</v>
      </c>
      <c r="H1039" s="38">
        <v>40156.339999999997</v>
      </c>
      <c r="I1039" s="38">
        <v>0</v>
      </c>
      <c r="J1039" s="38">
        <v>144237.62</v>
      </c>
      <c r="K1039" s="38">
        <v>133523.07</v>
      </c>
      <c r="L1039" s="38">
        <v>0</v>
      </c>
      <c r="M1039" s="38">
        <v>0</v>
      </c>
      <c r="N1039" s="38">
        <v>148294.76999999999</v>
      </c>
      <c r="O1039" s="38">
        <v>167476.01999999999</v>
      </c>
      <c r="P1039" s="38">
        <v>45603.839999999997</v>
      </c>
      <c r="Q1039" s="39">
        <f>SUM(H1039:P1039)</f>
        <v>679291.66</v>
      </c>
      <c r="R1039" s="39">
        <v>255707.48</v>
      </c>
      <c r="S1039" s="39">
        <v>396688.2</v>
      </c>
      <c r="T1039" s="39">
        <v>0</v>
      </c>
      <c r="U1039" s="39">
        <v>0</v>
      </c>
      <c r="V1039" s="39">
        <v>0</v>
      </c>
      <c r="W1039" s="83">
        <f>Q1039+G1039+R1039+S1039+T1039+U1039+V1039</f>
        <v>1836227.8</v>
      </c>
      <c r="X1039" s="41"/>
      <c r="Z1039" s="220">
        <f>W1039-1836227.8</f>
        <v>0</v>
      </c>
    </row>
    <row r="1040" spans="1:26" ht="12.75" x14ac:dyDescent="0.2">
      <c r="A1040" s="82" t="s">
        <v>42</v>
      </c>
      <c r="B1040" s="141">
        <f t="shared" ref="B1040:W1040" si="279">B1037+B1039-B991</f>
        <v>200664.78000000006</v>
      </c>
      <c r="C1040" s="141">
        <f t="shared" si="279"/>
        <v>1355008.0099999995</v>
      </c>
      <c r="D1040" s="141">
        <f t="shared" si="279"/>
        <v>2955047.01</v>
      </c>
      <c r="E1040" s="141">
        <f t="shared" si="279"/>
        <v>2617750.8800000008</v>
      </c>
      <c r="F1040" s="141">
        <f t="shared" si="279"/>
        <v>828827.32999999914</v>
      </c>
      <c r="G1040" s="39">
        <f t="shared" si="279"/>
        <v>7957298.0100000044</v>
      </c>
      <c r="H1040" s="141">
        <f t="shared" si="279"/>
        <v>3062560.3400000008</v>
      </c>
      <c r="I1040" s="141">
        <f t="shared" si="279"/>
        <v>1722045.9600000009</v>
      </c>
      <c r="J1040" s="141">
        <f t="shared" si="279"/>
        <v>1477795.5200000007</v>
      </c>
      <c r="K1040" s="141">
        <f t="shared" si="279"/>
        <v>1323074.0799999998</v>
      </c>
      <c r="L1040" s="141">
        <f t="shared" si="279"/>
        <v>1966089.6100000008</v>
      </c>
      <c r="M1040" s="141">
        <f t="shared" si="279"/>
        <v>185024.0500000004</v>
      </c>
      <c r="N1040" s="141">
        <f t="shared" si="279"/>
        <v>462295.1999999999</v>
      </c>
      <c r="O1040" s="141">
        <f t="shared" si="279"/>
        <v>3138824.3499999992</v>
      </c>
      <c r="P1040" s="141">
        <f t="shared" si="279"/>
        <v>930956.53999999992</v>
      </c>
      <c r="Q1040" s="39">
        <f t="shared" si="279"/>
        <v>14268665.649999984</v>
      </c>
      <c r="R1040" s="39">
        <f t="shared" si="279"/>
        <v>3627508.8700000024</v>
      </c>
      <c r="S1040" s="39">
        <f t="shared" si="279"/>
        <v>4607162.49</v>
      </c>
      <c r="T1040" s="39">
        <f t="shared" si="279"/>
        <v>3.092281986027956E-11</v>
      </c>
      <c r="U1040" s="39">
        <f t="shared" si="279"/>
        <v>1.0368239600211382E-10</v>
      </c>
      <c r="V1040" s="226">
        <f t="shared" si="279"/>
        <v>0</v>
      </c>
      <c r="W1040" s="83">
        <f t="shared" si="279"/>
        <v>30460635.02</v>
      </c>
      <c r="X1040" s="41">
        <f>W1039+X1037</f>
        <v>531516427.13840526</v>
      </c>
    </row>
    <row r="1041" spans="1:26" ht="12.75" x14ac:dyDescent="0.2">
      <c r="A1041" s="85"/>
      <c r="B1041" s="43"/>
      <c r="C1041" s="43"/>
      <c r="D1041" s="43"/>
      <c r="E1041" s="43"/>
      <c r="F1041" s="43"/>
      <c r="G1041" s="47"/>
      <c r="H1041" s="43"/>
      <c r="I1041" s="43"/>
      <c r="J1041" s="43"/>
      <c r="K1041" s="43"/>
      <c r="L1041" s="43"/>
      <c r="M1041" s="43"/>
      <c r="N1041" s="43"/>
      <c r="O1041" s="43"/>
      <c r="P1041" s="43"/>
      <c r="Q1041" s="47"/>
      <c r="R1041" s="47"/>
      <c r="S1041" s="47"/>
      <c r="T1041" s="47"/>
      <c r="U1041" s="47"/>
      <c r="V1041" s="43"/>
      <c r="W1041" s="87"/>
      <c r="X1041" s="46"/>
    </row>
    <row r="1042" spans="1:26" ht="12.75" x14ac:dyDescent="0.2">
      <c r="A1042" s="82" t="s">
        <v>45</v>
      </c>
      <c r="B1042" s="38">
        <v>12590.02</v>
      </c>
      <c r="C1042" s="38">
        <v>102281.64</v>
      </c>
      <c r="D1042" s="38">
        <v>307332.82</v>
      </c>
      <c r="E1042" s="38">
        <v>219765.17</v>
      </c>
      <c r="F1042" s="38">
        <v>0</v>
      </c>
      <c r="G1042" s="39">
        <f>SUM(B1042:F1042)</f>
        <v>641969.65</v>
      </c>
      <c r="H1042" s="38">
        <v>35727.839999999997</v>
      </c>
      <c r="I1042" s="38">
        <v>0</v>
      </c>
      <c r="J1042" s="38">
        <v>127688.72</v>
      </c>
      <c r="K1042" s="38">
        <v>123021.38</v>
      </c>
      <c r="L1042" s="38">
        <v>26523.57</v>
      </c>
      <c r="M1042" s="38">
        <v>0</v>
      </c>
      <c r="N1042" s="38">
        <v>87335.11</v>
      </c>
      <c r="O1042" s="38">
        <v>259820.45</v>
      </c>
      <c r="P1042" s="38">
        <v>0</v>
      </c>
      <c r="Q1042" s="39">
        <f>SUM(H1042:P1042)</f>
        <v>660117.07000000007</v>
      </c>
      <c r="R1042" s="39">
        <v>38191.03</v>
      </c>
      <c r="S1042" s="39">
        <v>229024.43</v>
      </c>
      <c r="T1042" s="39">
        <v>0</v>
      </c>
      <c r="U1042" s="39">
        <v>0</v>
      </c>
      <c r="V1042" s="39">
        <v>0</v>
      </c>
      <c r="W1042" s="83">
        <f>Q1042+G1042+R1042+S1042+T1042+U1042+V1042</f>
        <v>1569302.1800000002</v>
      </c>
      <c r="X1042" s="41" t="s">
        <v>60</v>
      </c>
      <c r="Z1042" s="220">
        <f>W1042-1569302.17</f>
        <v>1.0000000242143869E-2</v>
      </c>
    </row>
    <row r="1043" spans="1:26" ht="12.75" x14ac:dyDescent="0.2">
      <c r="A1043" s="82" t="s">
        <v>42</v>
      </c>
      <c r="B1043" s="141">
        <f t="shared" ref="B1043:W1043" si="280">B1040+B1042-B994</f>
        <v>213254.80000000005</v>
      </c>
      <c r="C1043" s="141">
        <f t="shared" si="280"/>
        <v>1333915.8699999994</v>
      </c>
      <c r="D1043" s="141">
        <f t="shared" si="280"/>
        <v>3131345.0199999996</v>
      </c>
      <c r="E1043" s="141">
        <f t="shared" si="280"/>
        <v>2492812.6600000006</v>
      </c>
      <c r="F1043" s="141">
        <f t="shared" si="280"/>
        <v>729387.09999999916</v>
      </c>
      <c r="G1043" s="39">
        <f t="shared" si="280"/>
        <v>7900715.4500000039</v>
      </c>
      <c r="H1043" s="141">
        <f t="shared" si="280"/>
        <v>3098288.1800000006</v>
      </c>
      <c r="I1043" s="141">
        <f t="shared" si="280"/>
        <v>1722045.9600000009</v>
      </c>
      <c r="J1043" s="141">
        <f t="shared" si="280"/>
        <v>1469982.1400000006</v>
      </c>
      <c r="K1043" s="141">
        <f t="shared" si="280"/>
        <v>1310770.8599999999</v>
      </c>
      <c r="L1043" s="141">
        <f t="shared" si="280"/>
        <v>1856537.6300000008</v>
      </c>
      <c r="M1043" s="141">
        <f t="shared" si="280"/>
        <v>176468.20000000039</v>
      </c>
      <c r="N1043" s="141">
        <f t="shared" si="280"/>
        <v>429535.03999999992</v>
      </c>
      <c r="O1043" s="141">
        <f t="shared" si="280"/>
        <v>3150582.0699999994</v>
      </c>
      <c r="P1043" s="141">
        <f t="shared" si="280"/>
        <v>930956.53999999992</v>
      </c>
      <c r="Q1043" s="39">
        <f t="shared" si="280"/>
        <v>14145166.619999984</v>
      </c>
      <c r="R1043" s="39">
        <f t="shared" si="280"/>
        <v>3665699.9000000022</v>
      </c>
      <c r="S1043" s="39">
        <f t="shared" si="280"/>
        <v>4836186.92</v>
      </c>
      <c r="T1043" s="39">
        <f t="shared" si="280"/>
        <v>3.092281986027956E-11</v>
      </c>
      <c r="U1043" s="39">
        <f t="shared" si="280"/>
        <v>1.0368239600211382E-10</v>
      </c>
      <c r="V1043" s="39">
        <f t="shared" si="280"/>
        <v>0</v>
      </c>
      <c r="W1043" s="140">
        <f t="shared" si="280"/>
        <v>30547768.890000001</v>
      </c>
      <c r="X1043" s="41">
        <f>W1042+X1040</f>
        <v>533085729.31840527</v>
      </c>
    </row>
    <row r="1044" spans="1:26" ht="12.75" x14ac:dyDescent="0.2">
      <c r="A1044" s="85"/>
      <c r="B1044" s="44"/>
      <c r="C1044" s="44"/>
      <c r="D1044" s="44"/>
      <c r="E1044" s="44"/>
      <c r="F1044" s="43"/>
      <c r="G1044" s="45"/>
      <c r="H1044" s="44"/>
      <c r="I1044" s="44"/>
      <c r="J1044" s="44"/>
      <c r="K1044" s="44"/>
      <c r="L1044" s="44"/>
      <c r="M1044" s="44"/>
      <c r="N1044" s="44"/>
      <c r="O1044" s="44"/>
      <c r="P1044" s="44"/>
      <c r="Q1044" s="45"/>
      <c r="R1044" s="47"/>
      <c r="S1044" s="47"/>
      <c r="T1044" s="47"/>
      <c r="U1044" s="47"/>
      <c r="V1044" s="43"/>
      <c r="W1044" s="86"/>
      <c r="X1044" s="46"/>
    </row>
    <row r="1045" spans="1:26" ht="12.75" x14ac:dyDescent="0.2">
      <c r="A1045" s="82" t="s">
        <v>46</v>
      </c>
      <c r="B1045" s="38">
        <v>28190.69</v>
      </c>
      <c r="C1045" s="38">
        <v>81285.149999999994</v>
      </c>
      <c r="D1045" s="38">
        <v>327234.87</v>
      </c>
      <c r="E1045" s="38">
        <v>387750.59</v>
      </c>
      <c r="F1045" s="38">
        <v>0</v>
      </c>
      <c r="G1045" s="39">
        <f>SUM(B1045:F1045)</f>
        <v>824461.3</v>
      </c>
      <c r="H1045" s="38">
        <v>346473.95</v>
      </c>
      <c r="I1045" s="38">
        <v>0</v>
      </c>
      <c r="J1045" s="38">
        <v>111694.77</v>
      </c>
      <c r="K1045" s="38">
        <v>101266.87</v>
      </c>
      <c r="L1045" s="38">
        <v>182122.15</v>
      </c>
      <c r="M1045" s="38">
        <v>0</v>
      </c>
      <c r="N1045" s="38">
        <v>0</v>
      </c>
      <c r="O1045" s="38">
        <v>161097.67000000001</v>
      </c>
      <c r="P1045" s="38">
        <v>19576.8</v>
      </c>
      <c r="Q1045" s="39">
        <f>SUM(H1045:P1045)</f>
        <v>922232.2100000002</v>
      </c>
      <c r="R1045" s="39">
        <v>0</v>
      </c>
      <c r="S1045" s="39">
        <v>134104.03</v>
      </c>
      <c r="T1045" s="39">
        <v>0</v>
      </c>
      <c r="U1045" s="39">
        <v>0</v>
      </c>
      <c r="V1045" s="39">
        <v>0</v>
      </c>
      <c r="W1045" s="83">
        <f>Q1045+G1045+R1045+S1045+T1045+U1045+V1045</f>
        <v>1880797.5400000003</v>
      </c>
      <c r="X1045" s="41"/>
      <c r="Z1045" s="220">
        <f>W1045-1880797.53</f>
        <v>1.0000000242143869E-2</v>
      </c>
    </row>
    <row r="1046" spans="1:26" ht="12.75" x14ac:dyDescent="0.2">
      <c r="A1046" s="82" t="s">
        <v>42</v>
      </c>
      <c r="B1046" s="141">
        <f t="shared" ref="B1046:W1046" si="281">B1043+B1045-B997</f>
        <v>235159.31000000006</v>
      </c>
      <c r="C1046" s="141">
        <f t="shared" si="281"/>
        <v>1279353.2999999993</v>
      </c>
      <c r="D1046" s="141">
        <f t="shared" si="281"/>
        <v>3257768.9799999995</v>
      </c>
      <c r="E1046" s="141">
        <f t="shared" si="281"/>
        <v>2492707.3200000003</v>
      </c>
      <c r="F1046" s="141">
        <f t="shared" si="281"/>
        <v>621860.78999999911</v>
      </c>
      <c r="G1046" s="39">
        <f t="shared" si="281"/>
        <v>7886849.7000000039</v>
      </c>
      <c r="H1046" s="141">
        <f t="shared" si="281"/>
        <v>3355854.7100000009</v>
      </c>
      <c r="I1046" s="141">
        <f t="shared" si="281"/>
        <v>1722045.9600000009</v>
      </c>
      <c r="J1046" s="141">
        <f t="shared" si="281"/>
        <v>1429778.8900000006</v>
      </c>
      <c r="K1046" s="141">
        <f t="shared" si="281"/>
        <v>1262991.45</v>
      </c>
      <c r="L1046" s="141">
        <f t="shared" si="281"/>
        <v>1818904.2500000007</v>
      </c>
      <c r="M1046" s="141">
        <f t="shared" si="281"/>
        <v>146462.76000000039</v>
      </c>
      <c r="N1046" s="141">
        <f t="shared" si="281"/>
        <v>324479.23999999993</v>
      </c>
      <c r="O1046" s="141">
        <f t="shared" si="281"/>
        <v>3057753.5599999991</v>
      </c>
      <c r="P1046" s="141">
        <f t="shared" si="281"/>
        <v>925572.85</v>
      </c>
      <c r="Q1046" s="39">
        <f t="shared" si="281"/>
        <v>14043843.669999985</v>
      </c>
      <c r="R1046" s="39">
        <f t="shared" si="281"/>
        <v>3665699.9000000022</v>
      </c>
      <c r="S1046" s="39">
        <f t="shared" si="281"/>
        <v>4965978.17</v>
      </c>
      <c r="T1046" s="39">
        <f t="shared" si="281"/>
        <v>3.092281986027956E-11</v>
      </c>
      <c r="U1046" s="39">
        <f t="shared" si="281"/>
        <v>1.0368239600211382E-10</v>
      </c>
      <c r="V1046" s="39">
        <f t="shared" si="281"/>
        <v>0</v>
      </c>
      <c r="W1046" s="140">
        <f t="shared" si="281"/>
        <v>30562371.440000001</v>
      </c>
      <c r="X1046" s="41">
        <f>W1045+X1043</f>
        <v>534966526.85840529</v>
      </c>
    </row>
    <row r="1047" spans="1:26" ht="12.75" x14ac:dyDescent="0.2">
      <c r="A1047" s="85"/>
      <c r="B1047" s="44"/>
      <c r="C1047" s="44"/>
      <c r="D1047" s="44"/>
      <c r="E1047" s="44"/>
      <c r="F1047" s="44"/>
      <c r="G1047" s="45"/>
      <c r="H1047" s="44"/>
      <c r="I1047" s="44"/>
      <c r="J1047" s="44"/>
      <c r="K1047" s="44"/>
      <c r="L1047" s="44"/>
      <c r="M1047" s="44"/>
      <c r="N1047" s="44"/>
      <c r="O1047" s="44"/>
      <c r="P1047" s="44"/>
      <c r="Q1047" s="45"/>
      <c r="R1047" s="47"/>
      <c r="S1047" s="47"/>
      <c r="T1047" s="47"/>
      <c r="U1047" s="47"/>
      <c r="V1047" s="43"/>
      <c r="W1047" s="86"/>
      <c r="X1047" s="46"/>
    </row>
    <row r="1048" spans="1:26" ht="12.75" x14ac:dyDescent="0.2">
      <c r="A1048" s="82" t="s">
        <v>47</v>
      </c>
      <c r="B1048" s="38">
        <v>14232.19</v>
      </c>
      <c r="C1048" s="38">
        <v>131069.72</v>
      </c>
      <c r="D1048" s="38">
        <v>314857.48</v>
      </c>
      <c r="E1048" s="38">
        <v>364609.05</v>
      </c>
      <c r="F1048" s="38">
        <v>0</v>
      </c>
      <c r="G1048" s="39">
        <f>SUM(B1048:F1048)</f>
        <v>824768.44</v>
      </c>
      <c r="H1048" s="38">
        <v>371448.77</v>
      </c>
      <c r="I1048" s="38">
        <v>90496.94</v>
      </c>
      <c r="J1048" s="38">
        <v>216513.14</v>
      </c>
      <c r="K1048" s="38">
        <v>214710.06</v>
      </c>
      <c r="L1048" s="38">
        <v>0</v>
      </c>
      <c r="M1048" s="38">
        <v>57017.87</v>
      </c>
      <c r="N1048" s="38">
        <v>0</v>
      </c>
      <c r="O1048" s="38">
        <v>174384.07</v>
      </c>
      <c r="P1048" s="38">
        <v>48801.32</v>
      </c>
      <c r="Q1048" s="39">
        <f>SUM(H1048:P1048)</f>
        <v>1173372.1700000002</v>
      </c>
      <c r="R1048" s="39">
        <v>0</v>
      </c>
      <c r="S1048" s="39">
        <v>839096.63</v>
      </c>
      <c r="T1048" s="39">
        <v>0</v>
      </c>
      <c r="U1048" s="39">
        <v>0</v>
      </c>
      <c r="V1048" s="39">
        <v>0</v>
      </c>
      <c r="W1048" s="83">
        <f>Q1048+G1048+R1048+S1048+T1048+U1048+V1048</f>
        <v>2837237.24</v>
      </c>
      <c r="X1048" s="41"/>
      <c r="Z1048" s="220">
        <f>W1048-2837237.24</f>
        <v>0</v>
      </c>
    </row>
    <row r="1049" spans="1:26" ht="12.75" x14ac:dyDescent="0.2">
      <c r="A1049" s="82" t="s">
        <v>42</v>
      </c>
      <c r="B1049" s="141">
        <f t="shared" ref="B1049:W1049" si="282">B1046+B1048-B1000</f>
        <v>217687.31000000006</v>
      </c>
      <c r="C1049" s="141">
        <f t="shared" si="282"/>
        <v>1236341.5599999994</v>
      </c>
      <c r="D1049" s="141">
        <f t="shared" si="282"/>
        <v>3231548.4699999997</v>
      </c>
      <c r="E1049" s="141">
        <f t="shared" si="282"/>
        <v>2525643.91</v>
      </c>
      <c r="F1049" s="141">
        <f t="shared" si="282"/>
        <v>528878.1599999991</v>
      </c>
      <c r="G1049" s="39">
        <f t="shared" si="282"/>
        <v>7740099.4100000039</v>
      </c>
      <c r="H1049" s="141">
        <f t="shared" si="282"/>
        <v>3282365.0000000009</v>
      </c>
      <c r="I1049" s="141">
        <f t="shared" si="282"/>
        <v>1439042.9300000009</v>
      </c>
      <c r="J1049" s="141">
        <f t="shared" si="282"/>
        <v>1425914.6400000006</v>
      </c>
      <c r="K1049" s="141">
        <f t="shared" si="282"/>
        <v>1261506.22</v>
      </c>
      <c r="L1049" s="141">
        <f t="shared" si="282"/>
        <v>1793273.5000000007</v>
      </c>
      <c r="M1049" s="141">
        <f t="shared" si="282"/>
        <v>203480.63000000038</v>
      </c>
      <c r="N1049" s="141">
        <f t="shared" si="282"/>
        <v>324479.23999999993</v>
      </c>
      <c r="O1049" s="141">
        <f t="shared" si="282"/>
        <v>2839846.4099999992</v>
      </c>
      <c r="P1049" s="141">
        <f t="shared" si="282"/>
        <v>755477.79999999993</v>
      </c>
      <c r="Q1049" s="39">
        <f t="shared" si="282"/>
        <v>13325386.369999986</v>
      </c>
      <c r="R1049" s="39">
        <f t="shared" si="282"/>
        <v>3578044.3400000022</v>
      </c>
      <c r="S1049" s="39">
        <f t="shared" si="282"/>
        <v>4973648.3599999994</v>
      </c>
      <c r="T1049" s="39">
        <f t="shared" si="282"/>
        <v>3.092281986027956E-11</v>
      </c>
      <c r="U1049" s="39">
        <f t="shared" si="282"/>
        <v>1.0368239600211382E-10</v>
      </c>
      <c r="V1049" s="39">
        <f t="shared" si="282"/>
        <v>0</v>
      </c>
      <c r="W1049" s="140">
        <f t="shared" si="282"/>
        <v>29617178.48</v>
      </c>
      <c r="X1049" s="41">
        <f>W1048+X1046</f>
        <v>537803764.09840524</v>
      </c>
    </row>
    <row r="1050" spans="1:26" ht="12.75" x14ac:dyDescent="0.2">
      <c r="A1050" s="85"/>
      <c r="B1050" s="43"/>
      <c r="C1050" s="43"/>
      <c r="D1050" s="43"/>
      <c r="E1050" s="43"/>
      <c r="F1050" s="43"/>
      <c r="G1050" s="47"/>
      <c r="H1050" s="43"/>
      <c r="I1050" s="43"/>
      <c r="J1050" s="43"/>
      <c r="K1050" s="43"/>
      <c r="L1050" s="43"/>
      <c r="M1050" s="43"/>
      <c r="N1050" s="43"/>
      <c r="O1050" s="43"/>
      <c r="P1050" s="43"/>
      <c r="Q1050" s="47"/>
      <c r="R1050" s="47"/>
      <c r="S1050" s="47"/>
      <c r="T1050" s="47"/>
      <c r="U1050" s="47"/>
      <c r="V1050" s="43"/>
      <c r="W1050" s="87"/>
      <c r="X1050" s="46"/>
    </row>
    <row r="1051" spans="1:26" ht="12.75" x14ac:dyDescent="0.2">
      <c r="A1051" s="82" t="s">
        <v>48</v>
      </c>
      <c r="B1051" s="38">
        <v>29559.17</v>
      </c>
      <c r="C1051" s="38">
        <v>192291.3</v>
      </c>
      <c r="D1051" s="38">
        <v>303486.71000000002</v>
      </c>
      <c r="E1051" s="38">
        <v>103939.42</v>
      </c>
      <c r="F1051" s="38">
        <v>0</v>
      </c>
      <c r="G1051" s="39">
        <f>SUM(B1051:F1051)</f>
        <v>629276.6</v>
      </c>
      <c r="H1051" s="291">
        <v>400221.95</v>
      </c>
      <c r="I1051" s="291">
        <v>326632.19</v>
      </c>
      <c r="J1051" s="291">
        <v>218670.77</v>
      </c>
      <c r="K1051" s="291">
        <v>211686.45</v>
      </c>
      <c r="L1051" s="291">
        <v>0</v>
      </c>
      <c r="M1051" s="291">
        <v>64390.42</v>
      </c>
      <c r="N1051" s="291">
        <v>123.94</v>
      </c>
      <c r="O1051" s="291">
        <v>129915.67</v>
      </c>
      <c r="P1051" s="291">
        <v>201081.51</v>
      </c>
      <c r="Q1051" s="292">
        <f>SUM(H1051:P1051)</f>
        <v>1552722.9</v>
      </c>
      <c r="R1051" s="292">
        <v>46929.18</v>
      </c>
      <c r="S1051" s="292">
        <v>903582.28</v>
      </c>
      <c r="T1051" s="39">
        <v>0</v>
      </c>
      <c r="U1051" s="39">
        <v>0</v>
      </c>
      <c r="V1051" s="39">
        <v>0</v>
      </c>
      <c r="W1051" s="297">
        <f>Q1051+G1051+R1051+S1051+T1051+U1051+V1051</f>
        <v>3132510.96</v>
      </c>
      <c r="X1051" s="41"/>
      <c r="Z1051" s="220">
        <f>W1051-3132510.96</f>
        <v>0</v>
      </c>
    </row>
    <row r="1052" spans="1:26" ht="12.75" x14ac:dyDescent="0.2">
      <c r="A1052" s="82" t="s">
        <v>42</v>
      </c>
      <c r="B1052" s="141">
        <f t="shared" ref="B1052:W1052" si="283">B1049+B1051-B1003</f>
        <v>220461.90000000002</v>
      </c>
      <c r="C1052" s="141">
        <f t="shared" si="283"/>
        <v>1224056.1299999994</v>
      </c>
      <c r="D1052" s="141">
        <f t="shared" si="283"/>
        <v>3193936.7399999998</v>
      </c>
      <c r="E1052" s="141">
        <f t="shared" si="283"/>
        <v>2330671.83</v>
      </c>
      <c r="F1052" s="141">
        <f t="shared" si="283"/>
        <v>447691.36999999912</v>
      </c>
      <c r="G1052" s="39">
        <f t="shared" si="283"/>
        <v>7416817.9700000035</v>
      </c>
      <c r="H1052" s="141">
        <f t="shared" si="283"/>
        <v>3198084.7100000009</v>
      </c>
      <c r="I1052" s="141">
        <f t="shared" si="283"/>
        <v>1377190.7200000007</v>
      </c>
      <c r="J1052" s="141">
        <f t="shared" si="283"/>
        <v>1445920.7800000007</v>
      </c>
      <c r="K1052" s="141">
        <f t="shared" si="283"/>
        <v>1270461.51</v>
      </c>
      <c r="L1052" s="141">
        <f t="shared" si="283"/>
        <v>1460020.9700000007</v>
      </c>
      <c r="M1052" s="141">
        <f t="shared" si="283"/>
        <v>228184.88000000041</v>
      </c>
      <c r="N1052" s="141">
        <f t="shared" si="283"/>
        <v>324603.17999999993</v>
      </c>
      <c r="O1052" s="141">
        <f t="shared" si="283"/>
        <v>2606648.8599999994</v>
      </c>
      <c r="P1052" s="141">
        <f t="shared" si="283"/>
        <v>740697.21</v>
      </c>
      <c r="Q1052" s="39">
        <f t="shared" si="283"/>
        <v>12651812.819999987</v>
      </c>
      <c r="R1052" s="39">
        <f t="shared" si="283"/>
        <v>3003489.5500000026</v>
      </c>
      <c r="S1052" s="39">
        <f t="shared" si="283"/>
        <v>5394746.4100000001</v>
      </c>
      <c r="T1052" s="39">
        <f t="shared" si="283"/>
        <v>3.092281986027956E-11</v>
      </c>
      <c r="U1052" s="39">
        <f t="shared" si="283"/>
        <v>1.0368239600211382E-10</v>
      </c>
      <c r="V1052" s="39">
        <f t="shared" si="283"/>
        <v>0</v>
      </c>
      <c r="W1052" s="298">
        <f t="shared" si="283"/>
        <v>28466866.75</v>
      </c>
      <c r="X1052" s="41">
        <f>W1051+X1049</f>
        <v>540936275.05840528</v>
      </c>
    </row>
    <row r="1053" spans="1:26" ht="12.75" x14ac:dyDescent="0.2">
      <c r="A1053" s="85"/>
      <c r="B1053" s="44"/>
      <c r="C1053" s="44"/>
      <c r="D1053" s="44"/>
      <c r="E1053" s="44"/>
      <c r="F1053" s="44"/>
      <c r="G1053" s="45"/>
      <c r="H1053" s="44"/>
      <c r="I1053" s="44"/>
      <c r="J1053" s="44"/>
      <c r="K1053" s="44"/>
      <c r="L1053" s="44"/>
      <c r="M1053" s="44"/>
      <c r="N1053" s="44"/>
      <c r="O1053" s="44"/>
      <c r="P1053" s="44"/>
      <c r="Q1053" s="45"/>
      <c r="R1053" s="47"/>
      <c r="S1053" s="47"/>
      <c r="T1053" s="47"/>
      <c r="U1053" s="47"/>
      <c r="V1053" s="43"/>
      <c r="W1053" s="86"/>
      <c r="X1053" s="46"/>
    </row>
    <row r="1054" spans="1:26" ht="12.75" x14ac:dyDescent="0.2">
      <c r="A1054" s="82" t="s">
        <v>49</v>
      </c>
      <c r="B1054" s="38">
        <v>30106.560000000001</v>
      </c>
      <c r="C1054" s="38">
        <v>182594.3</v>
      </c>
      <c r="D1054" s="38">
        <v>286512.59999999998</v>
      </c>
      <c r="E1054" s="38">
        <v>233024.32</v>
      </c>
      <c r="F1054" s="38">
        <v>0</v>
      </c>
      <c r="G1054" s="39">
        <f>SUM(B1054:F1054)</f>
        <v>732237.78</v>
      </c>
      <c r="H1054" s="38">
        <v>407571.29</v>
      </c>
      <c r="I1054" s="38">
        <v>403601.83</v>
      </c>
      <c r="J1054" s="38">
        <v>244035.35</v>
      </c>
      <c r="K1054" s="38">
        <v>232737.06</v>
      </c>
      <c r="L1054" s="38">
        <v>0</v>
      </c>
      <c r="M1054" s="38">
        <v>60814.95</v>
      </c>
      <c r="N1054" s="38">
        <v>0</v>
      </c>
      <c r="O1054" s="38">
        <v>172873.83</v>
      </c>
      <c r="P1054" s="38">
        <v>162620.84</v>
      </c>
      <c r="Q1054" s="39">
        <f>SUM(H1054:P1054)</f>
        <v>1684255.1500000001</v>
      </c>
      <c r="R1054" s="39">
        <v>74140.66</v>
      </c>
      <c r="S1054" s="39">
        <v>1384836.23</v>
      </c>
      <c r="T1054" s="39">
        <v>0</v>
      </c>
      <c r="U1054" s="39">
        <v>0</v>
      </c>
      <c r="V1054" s="39">
        <v>0</v>
      </c>
      <c r="W1054" s="83">
        <f>Q1054+G1054+R1054+S1054+T1054+U1054+V1054</f>
        <v>3875469.8200000003</v>
      </c>
      <c r="X1054" s="41"/>
      <c r="Z1054" s="220">
        <f>W1054-3875469.82</f>
        <v>0</v>
      </c>
    </row>
    <row r="1055" spans="1:26" ht="12.75" x14ac:dyDescent="0.2">
      <c r="A1055" s="82" t="s">
        <v>42</v>
      </c>
      <c r="B1055" s="141">
        <f t="shared" ref="B1055:W1055" si="284">B1052+B1054-B1006</f>
        <v>227883.56000000003</v>
      </c>
      <c r="C1055" s="141">
        <f t="shared" si="284"/>
        <v>1226304.0599999996</v>
      </c>
      <c r="D1055" s="141">
        <f t="shared" si="284"/>
        <v>3142353.8499999996</v>
      </c>
      <c r="E1055" s="141">
        <f t="shared" si="284"/>
        <v>2317556.16</v>
      </c>
      <c r="F1055" s="141">
        <f t="shared" si="284"/>
        <v>367553.79999999912</v>
      </c>
      <c r="G1055" s="39">
        <f t="shared" si="284"/>
        <v>7281651.4300000034</v>
      </c>
      <c r="H1055" s="141">
        <f t="shared" si="284"/>
        <v>3084678.7000000011</v>
      </c>
      <c r="I1055" s="141">
        <f t="shared" si="284"/>
        <v>1285182.9200000009</v>
      </c>
      <c r="J1055" s="141">
        <f t="shared" si="284"/>
        <v>1461171.7200000009</v>
      </c>
      <c r="K1055" s="141">
        <f t="shared" si="284"/>
        <v>1289515.6100000001</v>
      </c>
      <c r="L1055" s="141">
        <f t="shared" si="284"/>
        <v>1154121.1100000008</v>
      </c>
      <c r="M1055" s="141">
        <f t="shared" si="284"/>
        <v>233657.61000000042</v>
      </c>
      <c r="N1055" s="141">
        <f t="shared" si="284"/>
        <v>324603.17999999993</v>
      </c>
      <c r="O1055" s="141">
        <f t="shared" si="284"/>
        <v>2417536.6399999997</v>
      </c>
      <c r="P1055" s="141">
        <f t="shared" si="284"/>
        <v>676022.58</v>
      </c>
      <c r="Q1055" s="39">
        <f t="shared" si="284"/>
        <v>11926490.069999987</v>
      </c>
      <c r="R1055" s="39">
        <f t="shared" si="284"/>
        <v>2470990.9300000025</v>
      </c>
      <c r="S1055" s="39">
        <f t="shared" si="284"/>
        <v>6155268.5000000009</v>
      </c>
      <c r="T1055" s="39">
        <f t="shared" si="284"/>
        <v>3.092281986027956E-11</v>
      </c>
      <c r="U1055" s="39">
        <f t="shared" si="284"/>
        <v>1.0368239600211382E-10</v>
      </c>
      <c r="V1055" s="39">
        <f t="shared" si="284"/>
        <v>0</v>
      </c>
      <c r="W1055" s="140">
        <f t="shared" si="284"/>
        <v>27834400.93</v>
      </c>
      <c r="X1055" s="41">
        <f>W1054+X1052</f>
        <v>544811744.87840533</v>
      </c>
    </row>
    <row r="1056" spans="1:26" ht="12.75" x14ac:dyDescent="0.2">
      <c r="A1056" s="85"/>
      <c r="B1056" s="43"/>
      <c r="C1056" s="43"/>
      <c r="D1056" s="43"/>
      <c r="E1056" s="43"/>
      <c r="F1056" s="43"/>
      <c r="G1056" s="47"/>
      <c r="H1056" s="43"/>
      <c r="I1056" s="43"/>
      <c r="J1056" s="43"/>
      <c r="K1056" s="43"/>
      <c r="L1056" s="43"/>
      <c r="M1056" s="43"/>
      <c r="N1056" s="43"/>
      <c r="O1056" s="43"/>
      <c r="P1056" s="43"/>
      <c r="Q1056" s="47"/>
      <c r="R1056" s="47"/>
      <c r="S1056" s="47"/>
      <c r="T1056" s="47"/>
      <c r="U1056" s="47"/>
      <c r="V1056" s="43"/>
      <c r="W1056" s="87"/>
      <c r="X1056" s="46"/>
    </row>
    <row r="1057" spans="1:26" ht="12.75" x14ac:dyDescent="0.2">
      <c r="A1057" s="82" t="s">
        <v>50</v>
      </c>
      <c r="B1057" s="38">
        <v>29832.86</v>
      </c>
      <c r="C1057" s="38">
        <v>163626.29</v>
      </c>
      <c r="D1057" s="38">
        <v>277971.44</v>
      </c>
      <c r="E1057" s="38">
        <v>258826.77</v>
      </c>
      <c r="F1057" s="38">
        <v>0</v>
      </c>
      <c r="G1057" s="39">
        <f>SUM(B1057:F1057)</f>
        <v>730257.36</v>
      </c>
      <c r="H1057" s="38">
        <v>313568.14</v>
      </c>
      <c r="I1057" s="38">
        <v>9801.19</v>
      </c>
      <c r="J1057" s="38">
        <v>212956.48</v>
      </c>
      <c r="K1057" s="38">
        <v>212149.39</v>
      </c>
      <c r="L1057" s="38">
        <v>0</v>
      </c>
      <c r="M1057" s="38">
        <v>58982.93</v>
      </c>
      <c r="N1057" s="38">
        <v>385.2</v>
      </c>
      <c r="O1057" s="38">
        <v>173516.44</v>
      </c>
      <c r="P1057" s="38">
        <v>112014.43</v>
      </c>
      <c r="Q1057" s="39">
        <f>SUM(H1057:P1057)</f>
        <v>1093374.2</v>
      </c>
      <c r="R1057" s="39">
        <v>92219.5</v>
      </c>
      <c r="S1057" s="39">
        <v>1190050.25</v>
      </c>
      <c r="T1057" s="39">
        <v>0</v>
      </c>
      <c r="U1057" s="39">
        <v>0</v>
      </c>
      <c r="V1057" s="39">
        <v>0</v>
      </c>
      <c r="W1057" s="83">
        <f>Q1057+G1057+R1057+S1057+T1057+U1057+V1057</f>
        <v>3105901.31</v>
      </c>
      <c r="X1057" s="41"/>
      <c r="Z1057" s="220">
        <f>W1057-3105901.3</f>
        <v>1.0000000242143869E-2</v>
      </c>
    </row>
    <row r="1058" spans="1:26" ht="12.75" x14ac:dyDescent="0.2">
      <c r="A1058" s="82" t="s">
        <v>42</v>
      </c>
      <c r="B1058" s="141">
        <f t="shared" ref="B1058:W1058" si="285">B1055+B1057-B1009</f>
        <v>233391.65000000005</v>
      </c>
      <c r="C1058" s="141">
        <f t="shared" si="285"/>
        <v>1228022.8099999996</v>
      </c>
      <c r="D1058" s="141">
        <f t="shared" si="285"/>
        <v>3113824.6999999997</v>
      </c>
      <c r="E1058" s="141">
        <f t="shared" si="285"/>
        <v>2437112.7000000002</v>
      </c>
      <c r="F1058" s="141">
        <f t="shared" si="285"/>
        <v>303397.69999999914</v>
      </c>
      <c r="G1058" s="39">
        <f t="shared" si="285"/>
        <v>7315749.5600000042</v>
      </c>
      <c r="H1058" s="141">
        <f t="shared" si="285"/>
        <v>2938053.6500000013</v>
      </c>
      <c r="I1058" s="141">
        <f t="shared" si="285"/>
        <v>862147.8600000008</v>
      </c>
      <c r="J1058" s="141">
        <f t="shared" si="285"/>
        <v>1470718.2700000009</v>
      </c>
      <c r="K1058" s="141">
        <f t="shared" si="285"/>
        <v>1312611.3700000001</v>
      </c>
      <c r="L1058" s="141">
        <f t="shared" si="285"/>
        <v>829617.40000000084</v>
      </c>
      <c r="M1058" s="141">
        <f t="shared" si="285"/>
        <v>242149.63000000044</v>
      </c>
      <c r="N1058" s="141">
        <f t="shared" si="285"/>
        <v>324988.37999999995</v>
      </c>
      <c r="O1058" s="141">
        <f t="shared" si="285"/>
        <v>2344695.9299999997</v>
      </c>
      <c r="P1058" s="141">
        <f t="shared" si="285"/>
        <v>589698.74</v>
      </c>
      <c r="Q1058" s="39">
        <f t="shared" si="285"/>
        <v>10914681.229999987</v>
      </c>
      <c r="R1058" s="39">
        <f t="shared" si="285"/>
        <v>2025676.5700000026</v>
      </c>
      <c r="S1058" s="39">
        <f t="shared" si="285"/>
        <v>6633074.1500000013</v>
      </c>
      <c r="T1058" s="39">
        <f t="shared" si="285"/>
        <v>3.092281986027956E-11</v>
      </c>
      <c r="U1058" s="39">
        <f t="shared" si="285"/>
        <v>1.0368239600211382E-10</v>
      </c>
      <c r="V1058" s="39">
        <f t="shared" si="285"/>
        <v>0</v>
      </c>
      <c r="W1058" s="140">
        <f t="shared" si="285"/>
        <v>26889181.509999998</v>
      </c>
      <c r="X1058" s="41">
        <f>W1057+X1055</f>
        <v>547917646.18840528</v>
      </c>
    </row>
    <row r="1059" spans="1:26" ht="12.75" x14ac:dyDescent="0.2">
      <c r="A1059" s="85"/>
      <c r="B1059" s="43"/>
      <c r="C1059" s="43"/>
      <c r="D1059" s="43"/>
      <c r="E1059" s="43"/>
      <c r="F1059" s="43"/>
      <c r="G1059" s="47"/>
      <c r="H1059" s="43"/>
      <c r="I1059" s="43"/>
      <c r="J1059" s="43"/>
      <c r="K1059" s="43"/>
      <c r="L1059" s="43"/>
      <c r="M1059" s="43"/>
      <c r="N1059" s="43"/>
      <c r="O1059" s="43"/>
      <c r="P1059" s="43"/>
      <c r="Q1059" s="47"/>
      <c r="R1059" s="47"/>
      <c r="S1059" s="47"/>
      <c r="T1059" s="47"/>
      <c r="U1059" s="47"/>
      <c r="V1059" s="43"/>
      <c r="W1059" s="87"/>
      <c r="X1059" s="46"/>
    </row>
    <row r="1060" spans="1:26" ht="12.75" x14ac:dyDescent="0.2">
      <c r="A1060" s="82" t="s">
        <v>51</v>
      </c>
      <c r="B1060" s="38">
        <v>28464.38</v>
      </c>
      <c r="C1060" s="38">
        <v>92017.93</v>
      </c>
      <c r="D1060" s="38">
        <v>207430.14</v>
      </c>
      <c r="E1060" s="38">
        <v>360057.36</v>
      </c>
      <c r="F1060" s="38">
        <v>0</v>
      </c>
      <c r="G1060" s="39">
        <f>SUM(B1060:F1060)</f>
        <v>687969.81</v>
      </c>
      <c r="H1060" s="38">
        <v>342952.54</v>
      </c>
      <c r="I1060" s="38">
        <v>0</v>
      </c>
      <c r="J1060" s="291">
        <v>113456.42</v>
      </c>
      <c r="K1060" s="291">
        <v>110317.32</v>
      </c>
      <c r="L1060" s="291">
        <v>120452.21</v>
      </c>
      <c r="M1060" s="291">
        <v>54170.31</v>
      </c>
      <c r="N1060" s="291">
        <v>0</v>
      </c>
      <c r="O1060" s="291">
        <v>129287.29</v>
      </c>
      <c r="P1060" s="38">
        <v>205777.88</v>
      </c>
      <c r="Q1060" s="39">
        <f>SUM(H1060:P1060)</f>
        <v>1076413.9700000002</v>
      </c>
      <c r="R1060" s="39">
        <v>353397.71</v>
      </c>
      <c r="S1060" s="292">
        <v>423804.09</v>
      </c>
      <c r="T1060" s="39">
        <v>0</v>
      </c>
      <c r="U1060" s="39">
        <v>0</v>
      </c>
      <c r="V1060" s="39">
        <v>0</v>
      </c>
      <c r="W1060" s="83">
        <f>Q1060+G1060+R1060+S1060+T1060+U1060+V1060</f>
        <v>2541585.58</v>
      </c>
      <c r="X1060" s="41"/>
      <c r="Z1060" s="220">
        <f>W1060-2541585.59</f>
        <v>-9.9999997764825821E-3</v>
      </c>
    </row>
    <row r="1061" spans="1:26" ht="12.75" x14ac:dyDescent="0.2">
      <c r="A1061" s="82" t="s">
        <v>42</v>
      </c>
      <c r="B1061" s="141">
        <f t="shared" ref="B1061:W1061" si="286">B1058+B1060-B1012</f>
        <v>236984.64000000007</v>
      </c>
      <c r="C1061" s="141">
        <f t="shared" si="286"/>
        <v>1155576.3499999996</v>
      </c>
      <c r="D1061" s="141">
        <f t="shared" si="286"/>
        <v>3030572.9499999997</v>
      </c>
      <c r="E1061" s="141">
        <f t="shared" si="286"/>
        <v>2653786.2999999998</v>
      </c>
      <c r="F1061" s="141">
        <f t="shared" si="286"/>
        <v>209801.32999999914</v>
      </c>
      <c r="G1061" s="39">
        <f t="shared" si="286"/>
        <v>7286721.570000005</v>
      </c>
      <c r="H1061" s="141">
        <f t="shared" si="286"/>
        <v>2998943.2700000014</v>
      </c>
      <c r="I1061" s="141">
        <f t="shared" si="286"/>
        <v>835531.32000000076</v>
      </c>
      <c r="J1061" s="141">
        <f t="shared" si="286"/>
        <v>1480346.3800000008</v>
      </c>
      <c r="K1061" s="141">
        <f t="shared" si="286"/>
        <v>1422928.6900000002</v>
      </c>
      <c r="L1061" s="141">
        <f t="shared" si="286"/>
        <v>698711.51000000082</v>
      </c>
      <c r="M1061" s="141">
        <f t="shared" si="286"/>
        <v>295376.48000000039</v>
      </c>
      <c r="N1061" s="141">
        <f t="shared" si="286"/>
        <v>324988.37999999995</v>
      </c>
      <c r="O1061" s="141">
        <f t="shared" si="286"/>
        <v>2214467.15</v>
      </c>
      <c r="P1061" s="141">
        <f t="shared" si="286"/>
        <v>795476.62</v>
      </c>
      <c r="Q1061" s="39">
        <f t="shared" si="286"/>
        <v>11066769.799999988</v>
      </c>
      <c r="R1061" s="39">
        <f t="shared" si="286"/>
        <v>2246386.5600000024</v>
      </c>
      <c r="S1061" s="39">
        <f t="shared" si="286"/>
        <v>6681658.1300000008</v>
      </c>
      <c r="T1061" s="39">
        <f t="shared" si="286"/>
        <v>3.092281986027956E-11</v>
      </c>
      <c r="U1061" s="39">
        <f t="shared" si="286"/>
        <v>1.0368239600211382E-10</v>
      </c>
      <c r="V1061" s="39">
        <f t="shared" si="286"/>
        <v>0</v>
      </c>
      <c r="W1061" s="140">
        <f t="shared" si="286"/>
        <v>27281536.059999995</v>
      </c>
      <c r="X1061" s="41">
        <f>W1060+X1058</f>
        <v>550459231.76840532</v>
      </c>
    </row>
    <row r="1062" spans="1:26" ht="12.75" x14ac:dyDescent="0.2">
      <c r="A1062" s="85"/>
      <c r="B1062" s="44"/>
      <c r="C1062" s="44"/>
      <c r="D1062" s="44"/>
      <c r="E1062" s="44"/>
      <c r="F1062" s="44"/>
      <c r="G1062" s="45"/>
      <c r="H1062" s="44"/>
      <c r="I1062" s="44"/>
      <c r="J1062" s="44"/>
      <c r="K1062" s="44"/>
      <c r="L1062" s="44"/>
      <c r="M1062" s="44"/>
      <c r="N1062" s="44"/>
      <c r="O1062" s="44"/>
      <c r="P1062" s="44"/>
      <c r="Q1062" s="45"/>
      <c r="R1062" s="47"/>
      <c r="S1062" s="47"/>
      <c r="T1062" s="47"/>
      <c r="U1062" s="47"/>
      <c r="V1062" s="43"/>
      <c r="W1062" s="86"/>
      <c r="X1062" s="46"/>
    </row>
    <row r="1063" spans="1:26" ht="12.75" x14ac:dyDescent="0.2">
      <c r="A1063" s="82" t="s">
        <v>52</v>
      </c>
      <c r="B1063" s="38">
        <v>24358.959999999999</v>
      </c>
      <c r="C1063" s="38">
        <v>92418</v>
      </c>
      <c r="D1063" s="38">
        <v>239289.41</v>
      </c>
      <c r="E1063" s="38">
        <v>168780.68</v>
      </c>
      <c r="F1063" s="38">
        <v>0</v>
      </c>
      <c r="G1063" s="39">
        <f>SUM(B1063:F1063)</f>
        <v>524847.05000000005</v>
      </c>
      <c r="H1063" s="38">
        <v>250012.5</v>
      </c>
      <c r="I1063" s="291">
        <v>0</v>
      </c>
      <c r="J1063" s="291">
        <v>99610.62</v>
      </c>
      <c r="K1063" s="291">
        <v>88534.7</v>
      </c>
      <c r="L1063" s="38">
        <v>0</v>
      </c>
      <c r="M1063" s="38">
        <v>48063.92</v>
      </c>
      <c r="N1063" s="38">
        <v>0</v>
      </c>
      <c r="O1063" s="299">
        <v>220710.19</v>
      </c>
      <c r="P1063" s="38">
        <v>118200.47</v>
      </c>
      <c r="Q1063" s="39">
        <f>SUM(H1063:P1063)</f>
        <v>825132.39999999991</v>
      </c>
      <c r="R1063" s="300">
        <v>309338.65999999997</v>
      </c>
      <c r="S1063" s="39">
        <v>612449.62</v>
      </c>
      <c r="T1063" s="39">
        <v>0</v>
      </c>
      <c r="U1063" s="39">
        <v>0</v>
      </c>
      <c r="V1063" s="39">
        <v>0</v>
      </c>
      <c r="W1063" s="83">
        <f>Q1063+G1063+R1063+S1063+T1063+U1063+V1063</f>
        <v>2271767.73</v>
      </c>
      <c r="X1063" s="41"/>
      <c r="Z1063" s="220">
        <f>W1063-2271767.74</f>
        <v>-1.0000000242143869E-2</v>
      </c>
    </row>
    <row r="1064" spans="1:26" ht="12.75" x14ac:dyDescent="0.2">
      <c r="A1064" s="82" t="s">
        <v>42</v>
      </c>
      <c r="B1064" s="141">
        <f t="shared" ref="B1064:W1064" si="287">B1061+B1063-B1015</f>
        <v>257243.92000000007</v>
      </c>
      <c r="C1064" s="141">
        <f t="shared" si="287"/>
        <v>1217857.8299999996</v>
      </c>
      <c r="D1064" s="141">
        <f t="shared" si="287"/>
        <v>3093949.4899999998</v>
      </c>
      <c r="E1064" s="141">
        <f t="shared" si="287"/>
        <v>2634424.21</v>
      </c>
      <c r="F1064" s="141">
        <f t="shared" si="287"/>
        <v>124637.90999999914</v>
      </c>
      <c r="G1064" s="39">
        <f t="shared" si="287"/>
        <v>7328113.360000005</v>
      </c>
      <c r="H1064" s="141">
        <f t="shared" si="287"/>
        <v>3054619.5200000014</v>
      </c>
      <c r="I1064" s="141">
        <f t="shared" si="287"/>
        <v>835531.32000000076</v>
      </c>
      <c r="J1064" s="141">
        <f t="shared" si="287"/>
        <v>1558963.600000001</v>
      </c>
      <c r="K1064" s="141">
        <f t="shared" si="287"/>
        <v>1496556.6300000001</v>
      </c>
      <c r="L1064" s="141">
        <f t="shared" si="287"/>
        <v>488698.62000000081</v>
      </c>
      <c r="M1064" s="141">
        <f t="shared" si="287"/>
        <v>343440.40000000037</v>
      </c>
      <c r="N1064" s="141">
        <f t="shared" si="287"/>
        <v>324988.37999999995</v>
      </c>
      <c r="O1064" s="141">
        <f t="shared" si="287"/>
        <v>2177379.4</v>
      </c>
      <c r="P1064" s="141">
        <f t="shared" si="287"/>
        <v>913677.09</v>
      </c>
      <c r="Q1064" s="39">
        <f t="shared" si="287"/>
        <v>11193854.959999988</v>
      </c>
      <c r="R1064" s="39">
        <f t="shared" si="287"/>
        <v>2326532.8100000024</v>
      </c>
      <c r="S1064" s="39">
        <f t="shared" si="287"/>
        <v>7132979.6100000013</v>
      </c>
      <c r="T1064" s="39">
        <f t="shared" si="287"/>
        <v>3.092281986027956E-11</v>
      </c>
      <c r="U1064" s="39">
        <f t="shared" si="287"/>
        <v>1.0368239600211382E-10</v>
      </c>
      <c r="V1064" s="39">
        <f t="shared" si="287"/>
        <v>0</v>
      </c>
      <c r="W1064" s="140">
        <f t="shared" si="287"/>
        <v>27981480.739999995</v>
      </c>
      <c r="X1064" s="41">
        <f>W1063+X1061</f>
        <v>552730999.49840534</v>
      </c>
    </row>
    <row r="1065" spans="1:26" ht="12.75" x14ac:dyDescent="0.2">
      <c r="A1065" s="85"/>
      <c r="B1065" s="43"/>
      <c r="C1065" s="43"/>
      <c r="D1065" s="43"/>
      <c r="E1065" s="43"/>
      <c r="F1065" s="43"/>
      <c r="G1065" s="47"/>
      <c r="H1065" s="43"/>
      <c r="I1065" s="43"/>
      <c r="J1065" s="43"/>
      <c r="K1065" s="43"/>
      <c r="L1065" s="43"/>
      <c r="M1065" s="43"/>
      <c r="N1065" s="43"/>
      <c r="O1065" s="43"/>
      <c r="P1065" s="43"/>
      <c r="Q1065" s="47"/>
      <c r="R1065" s="47"/>
      <c r="S1065" s="47"/>
      <c r="T1065" s="47"/>
      <c r="U1065" s="47"/>
      <c r="V1065" s="43"/>
      <c r="W1065" s="87"/>
      <c r="X1065" s="46"/>
    </row>
    <row r="1066" spans="1:26" ht="12.75" x14ac:dyDescent="0.2">
      <c r="A1066" s="82" t="s">
        <v>53</v>
      </c>
      <c r="B1066" s="38">
        <v>6295.03</v>
      </c>
      <c r="C1066" s="38">
        <v>69918.41</v>
      </c>
      <c r="D1066" s="38">
        <v>175860.66</v>
      </c>
      <c r="E1066" s="38">
        <v>113379.34</v>
      </c>
      <c r="F1066" s="38">
        <v>0</v>
      </c>
      <c r="G1066" s="39">
        <f>SUM(B1066:F1066)</f>
        <v>365453.44</v>
      </c>
      <c r="H1066" s="38">
        <v>26990.77</v>
      </c>
      <c r="I1066" s="38">
        <v>0</v>
      </c>
      <c r="J1066" s="84">
        <v>108293.85</v>
      </c>
      <c r="K1066" s="84">
        <v>105103.54</v>
      </c>
      <c r="L1066" s="38">
        <v>0</v>
      </c>
      <c r="M1066" s="38">
        <v>11830.8</v>
      </c>
      <c r="N1066" s="38">
        <v>0</v>
      </c>
      <c r="O1066" s="84">
        <v>250244.42</v>
      </c>
      <c r="P1066" s="38">
        <v>0</v>
      </c>
      <c r="Q1066" s="39">
        <f>SUM(H1066:P1066)</f>
        <v>502463.38</v>
      </c>
      <c r="R1066" s="39">
        <v>133834.99</v>
      </c>
      <c r="S1066" s="255">
        <v>365938.14</v>
      </c>
      <c r="T1066" s="39">
        <v>0</v>
      </c>
      <c r="U1066" s="39">
        <v>0</v>
      </c>
      <c r="V1066" s="39">
        <v>0</v>
      </c>
      <c r="W1066" s="83">
        <f>Q1066+G1066+R1066+S1066+T1066+U1066+V1066</f>
        <v>1367689.9500000002</v>
      </c>
      <c r="X1066" s="41"/>
      <c r="Z1066" s="220">
        <f>W1066-1367689.94</f>
        <v>1.0000000242143869E-2</v>
      </c>
    </row>
    <row r="1067" spans="1:26" ht="13.5" thickBot="1" x14ac:dyDescent="0.25">
      <c r="A1067" s="88" t="s">
        <v>42</v>
      </c>
      <c r="B1067" s="143">
        <f t="shared" ref="B1067:W1067" si="288">B1064+B1066-B1018</f>
        <v>241947.30000000008</v>
      </c>
      <c r="C1067" s="143">
        <f t="shared" si="288"/>
        <v>1287776.2399999995</v>
      </c>
      <c r="D1067" s="143">
        <f t="shared" si="288"/>
        <v>3084424.13</v>
      </c>
      <c r="E1067" s="143">
        <f t="shared" si="288"/>
        <v>2436980.7399999998</v>
      </c>
      <c r="F1067" s="143">
        <f t="shared" si="288"/>
        <v>15764.139999999141</v>
      </c>
      <c r="G1067" s="50">
        <f t="shared" si="288"/>
        <v>7066892.5500000054</v>
      </c>
      <c r="H1067" s="143">
        <f t="shared" si="288"/>
        <v>2844549.2200000016</v>
      </c>
      <c r="I1067" s="143">
        <f t="shared" si="288"/>
        <v>835531.32000000076</v>
      </c>
      <c r="J1067" s="143">
        <f t="shared" si="288"/>
        <v>1667257.4500000011</v>
      </c>
      <c r="K1067" s="143">
        <f t="shared" si="288"/>
        <v>1601660.1700000002</v>
      </c>
      <c r="L1067" s="198">
        <f t="shared" si="288"/>
        <v>446843.41000000079</v>
      </c>
      <c r="M1067" s="143">
        <f t="shared" si="288"/>
        <v>355271.20000000036</v>
      </c>
      <c r="N1067" s="143">
        <f t="shared" si="288"/>
        <v>324988.37999999995</v>
      </c>
      <c r="O1067" s="143">
        <f t="shared" si="288"/>
        <v>2278184.0999999996</v>
      </c>
      <c r="P1067" s="143">
        <f t="shared" si="288"/>
        <v>913677.09</v>
      </c>
      <c r="Q1067" s="50">
        <f t="shared" si="288"/>
        <v>11267962.339999989</v>
      </c>
      <c r="R1067" s="50">
        <f t="shared" si="288"/>
        <v>2097120.3600000027</v>
      </c>
      <c r="S1067" s="50">
        <f t="shared" si="288"/>
        <v>7128494.6400000006</v>
      </c>
      <c r="T1067" s="50">
        <f t="shared" si="288"/>
        <v>3.092281986027956E-11</v>
      </c>
      <c r="U1067" s="50">
        <f t="shared" si="288"/>
        <v>1.0368239600211382E-10</v>
      </c>
      <c r="V1067" s="50">
        <f t="shared" si="288"/>
        <v>0</v>
      </c>
      <c r="W1067" s="144">
        <f t="shared" si="288"/>
        <v>27560469.889999993</v>
      </c>
      <c r="X1067" s="51">
        <f>W1066+X1064</f>
        <v>554098689.44840539</v>
      </c>
    </row>
    <row r="1068" spans="1:26" ht="12.75" x14ac:dyDescent="0.2">
      <c r="B1068" s="52" t="s">
        <v>221</v>
      </c>
      <c r="C1068" s="90"/>
      <c r="D1068" s="90"/>
      <c r="E1068" s="90"/>
      <c r="F1068" s="90"/>
      <c r="G1068" s="90"/>
      <c r="I1068" s="90"/>
      <c r="J1068" s="90"/>
      <c r="K1068" s="90"/>
      <c r="L1068" s="90"/>
      <c r="M1068" s="90"/>
      <c r="N1068" s="90"/>
      <c r="O1068" s="171"/>
      <c r="P1068" s="90"/>
      <c r="Q1068" s="282" t="s">
        <v>238</v>
      </c>
      <c r="S1068" s="52"/>
      <c r="T1068" s="52"/>
      <c r="U1068" s="52"/>
      <c r="V1068" s="52"/>
      <c r="W1068" s="90"/>
      <c r="X1068" s="91"/>
    </row>
    <row r="1069" spans="1:26" ht="12.75" x14ac:dyDescent="0.2">
      <c r="B1069" s="281"/>
      <c r="C1069" s="137" t="s">
        <v>229</v>
      </c>
      <c r="L1069" s="1" t="s">
        <v>224</v>
      </c>
      <c r="M1069" s="1" t="s">
        <v>225</v>
      </c>
      <c r="P1069" t="s">
        <v>122</v>
      </c>
      <c r="X1069" s="9"/>
    </row>
    <row r="1070" spans="1:26" ht="12" x14ac:dyDescent="0.2">
      <c r="B1070" s="274" t="s">
        <v>60</v>
      </c>
      <c r="C1070" s="274"/>
      <c r="D1070" s="274"/>
      <c r="E1070" s="274"/>
      <c r="F1070" s="274"/>
      <c r="G1070" s="274"/>
      <c r="H1070" s="274"/>
      <c r="I1070" s="274"/>
      <c r="J1070" s="274"/>
      <c r="L1070" s="302">
        <f>I1067+J1067+K1067+O1067+S1067</f>
        <v>13511127.680000003</v>
      </c>
      <c r="M1070" s="275">
        <f>L1067+M1067+N1067+P1067</f>
        <v>2040780.080000001</v>
      </c>
    </row>
    <row r="1071" spans="1:26" x14ac:dyDescent="0.2">
      <c r="B1071" s="286"/>
      <c r="C1071" s="137" t="s">
        <v>231</v>
      </c>
      <c r="H1071" s="220">
        <f>H1003+H1006+H1009+H1012+H1015+H1018+H1033+H1036+H1039+H1042+H1045+H1048</f>
        <v>3282364.9999999995</v>
      </c>
      <c r="I1071" s="220">
        <f t="shared" ref="I1071:O1071" si="289">I1003+I1006+I1009+I1012+I1015+I1018+I1033+I1036+I1039+I1042+I1045+I1048</f>
        <v>1439042.93</v>
      </c>
      <c r="J1071" s="220">
        <f t="shared" si="289"/>
        <v>1425914.6400000001</v>
      </c>
      <c r="K1071" s="220">
        <f t="shared" si="289"/>
        <v>1261506.22</v>
      </c>
      <c r="L1071" s="220">
        <f t="shared" si="289"/>
        <v>1793273.5000000002</v>
      </c>
      <c r="M1071" s="220">
        <f t="shared" si="289"/>
        <v>203480.62999999998</v>
      </c>
      <c r="N1071" s="220">
        <f t="shared" si="289"/>
        <v>324479.24</v>
      </c>
      <c r="O1071" s="220">
        <f t="shared" si="289"/>
        <v>2839846.4099999997</v>
      </c>
      <c r="P1071" s="220">
        <f>P1003+P1006+P1009+P1012+P1015+P1018+P1033+P1036+P1039+P1042+P1045+P1048</f>
        <v>755477.79999999993</v>
      </c>
    </row>
    <row r="1072" spans="1:26" ht="27" x14ac:dyDescent="0.35">
      <c r="A1072" s="294" t="s">
        <v>239</v>
      </c>
      <c r="B1072" s="54"/>
      <c r="C1072" s="122"/>
      <c r="D1072" s="58"/>
      <c r="E1072" s="127"/>
      <c r="F1072" s="128"/>
      <c r="G1072" s="127"/>
      <c r="H1072" s="129"/>
      <c r="I1072" s="130"/>
      <c r="J1072" s="130"/>
      <c r="K1072" s="130"/>
      <c r="L1072" s="130"/>
      <c r="M1072" s="130"/>
      <c r="N1072" s="130"/>
      <c r="O1072" s="130"/>
      <c r="P1072" s="130"/>
      <c r="Q1072" s="130"/>
      <c r="R1072" s="128"/>
      <c r="S1072" s="128"/>
      <c r="T1072" s="128"/>
      <c r="U1072" s="128"/>
      <c r="V1072" s="128"/>
      <c r="W1072" s="130"/>
      <c r="X1072" s="131"/>
    </row>
    <row r="1073" spans="1:26" ht="27" x14ac:dyDescent="0.35">
      <c r="A1073" s="295" t="s">
        <v>60</v>
      </c>
      <c r="B1073" s="170"/>
      <c r="C1073" s="54"/>
      <c r="D1073" s="53"/>
      <c r="E1073" s="53"/>
      <c r="F1073" s="132"/>
      <c r="H1073" s="55"/>
      <c r="I1073" s="55"/>
      <c r="J1073" s="54"/>
      <c r="K1073" s="56"/>
      <c r="L1073" s="57"/>
      <c r="M1073" s="54"/>
      <c r="N1073" s="54" t="s">
        <v>60</v>
      </c>
      <c r="O1073" s="54"/>
      <c r="P1073" s="54"/>
      <c r="Q1073" s="57"/>
      <c r="R1073" s="58"/>
      <c r="S1073" s="58"/>
      <c r="T1073" s="58"/>
      <c r="U1073" s="58"/>
      <c r="V1073" s="58"/>
      <c r="W1073" s="54"/>
      <c r="X1073" s="54"/>
    </row>
    <row r="1074" spans="1:26" ht="27" x14ac:dyDescent="0.35">
      <c r="A1074" s="296" t="s">
        <v>6</v>
      </c>
      <c r="B1074" s="122"/>
      <c r="C1074" s="122"/>
      <c r="D1074" s="122"/>
      <c r="E1074" s="122"/>
      <c r="F1074" s="122"/>
      <c r="H1074" s="122"/>
      <c r="I1074" s="122"/>
      <c r="J1074" s="122"/>
      <c r="K1074" s="122"/>
      <c r="L1074" s="122"/>
      <c r="M1074" s="122"/>
      <c r="N1074" s="122"/>
      <c r="O1074" s="122"/>
      <c r="P1074" s="122"/>
      <c r="Q1074" s="122"/>
      <c r="R1074" s="122"/>
      <c r="S1074" s="122"/>
      <c r="T1074" s="122"/>
      <c r="U1074" s="122"/>
      <c r="V1074" s="122"/>
      <c r="W1074" s="142"/>
      <c r="X1074" s="122"/>
    </row>
    <row r="1075" spans="1:26" ht="12" thickBot="1" x14ac:dyDescent="0.25">
      <c r="B1075" s="2"/>
      <c r="C1075" s="2"/>
      <c r="D1075" s="2"/>
      <c r="E1075" s="2"/>
      <c r="F1075" s="59"/>
      <c r="G1075" s="2"/>
      <c r="H1075" s="2"/>
      <c r="I1075" s="2"/>
      <c r="J1075" s="2"/>
      <c r="K1075" s="2"/>
      <c r="L1075" s="2"/>
      <c r="M1075" s="2"/>
      <c r="N1075" s="2"/>
      <c r="O1075" s="2"/>
      <c r="P1075" s="2"/>
      <c r="Q1075" s="2" t="s">
        <v>60</v>
      </c>
      <c r="W1075" s="2"/>
      <c r="X1075" s="57"/>
    </row>
    <row r="1076" spans="1:26" x14ac:dyDescent="0.2">
      <c r="A1076" s="14"/>
      <c r="B1076" s="15"/>
      <c r="C1076" s="15"/>
      <c r="D1076" s="15"/>
      <c r="E1076" s="15"/>
      <c r="F1076" s="15"/>
      <c r="G1076" s="15"/>
      <c r="H1076" s="15"/>
      <c r="I1076" s="15"/>
      <c r="J1076" s="15"/>
      <c r="K1076" s="15"/>
      <c r="L1076" s="15"/>
      <c r="M1076" s="15"/>
      <c r="N1076" s="15"/>
      <c r="O1076" s="15"/>
      <c r="P1076" s="15"/>
      <c r="Q1076" s="15"/>
      <c r="R1076" s="16"/>
      <c r="S1076" s="16"/>
      <c r="T1076" s="16"/>
      <c r="U1076" s="16"/>
      <c r="V1076" s="16"/>
      <c r="W1076" s="15"/>
      <c r="X1076" s="60" t="s">
        <v>60</v>
      </c>
    </row>
    <row r="1077" spans="1:26" ht="13.5" thickBot="1" x14ac:dyDescent="0.25">
      <c r="A1077" s="18"/>
      <c r="B1077" s="61"/>
      <c r="C1077" s="62"/>
      <c r="D1077" s="63" t="s">
        <v>73</v>
      </c>
      <c r="E1077" s="64"/>
      <c r="F1077" s="64"/>
      <c r="G1077" s="64"/>
      <c r="H1077" s="61"/>
      <c r="I1077" s="64"/>
      <c r="J1077" s="64"/>
      <c r="K1077" s="65" t="s">
        <v>74</v>
      </c>
      <c r="L1077" s="64"/>
      <c r="M1077" s="64"/>
      <c r="N1077" s="64"/>
      <c r="O1077" s="64"/>
      <c r="P1077" s="64"/>
      <c r="Q1077" s="138"/>
      <c r="R1077" s="64"/>
      <c r="S1077" s="64"/>
      <c r="T1077" s="64"/>
      <c r="U1077" s="64"/>
      <c r="V1077" s="64"/>
      <c r="W1077" s="66"/>
      <c r="X1077" s="36" t="s">
        <v>60</v>
      </c>
    </row>
    <row r="1078" spans="1:26" ht="12" x14ac:dyDescent="0.2">
      <c r="A1078" s="67"/>
      <c r="B1078" s="68" t="s">
        <v>11</v>
      </c>
      <c r="C1078" s="68" t="s">
        <v>12</v>
      </c>
      <c r="D1078" s="68" t="s">
        <v>13</v>
      </c>
      <c r="E1078" s="68" t="s">
        <v>14</v>
      </c>
      <c r="F1078" s="68" t="s">
        <v>15</v>
      </c>
      <c r="G1078" s="69" t="s">
        <v>16</v>
      </c>
      <c r="H1078" s="68" t="s">
        <v>17</v>
      </c>
      <c r="I1078" s="70"/>
      <c r="J1078" s="70"/>
      <c r="K1078" s="70"/>
      <c r="L1078" s="70"/>
      <c r="M1078" s="68" t="s">
        <v>18</v>
      </c>
      <c r="N1078" s="68" t="s">
        <v>19</v>
      </c>
      <c r="O1078" s="68" t="s">
        <v>20</v>
      </c>
      <c r="P1078" s="68" t="s">
        <v>21</v>
      </c>
      <c r="Q1078" s="69" t="s">
        <v>16</v>
      </c>
      <c r="R1078" s="203" t="s">
        <v>69</v>
      </c>
      <c r="S1078" s="202" t="s">
        <v>126</v>
      </c>
      <c r="T1078" s="202" t="s">
        <v>138</v>
      </c>
      <c r="U1078" s="202" t="s">
        <v>134</v>
      </c>
      <c r="V1078" s="202" t="s">
        <v>136</v>
      </c>
      <c r="W1078" s="72" t="s">
        <v>7</v>
      </c>
      <c r="X1078" s="73" t="s">
        <v>70</v>
      </c>
    </row>
    <row r="1079" spans="1:26" ht="12.75" thickBot="1" x14ac:dyDescent="0.25">
      <c r="A1079" s="75"/>
      <c r="B1079" s="76" t="s">
        <v>23</v>
      </c>
      <c r="C1079" s="76" t="s">
        <v>24</v>
      </c>
      <c r="D1079" s="76" t="s">
        <v>25</v>
      </c>
      <c r="E1079" s="76" t="s">
        <v>26</v>
      </c>
      <c r="F1079" s="76" t="s">
        <v>27</v>
      </c>
      <c r="G1079" s="77" t="s">
        <v>28</v>
      </c>
      <c r="H1079" s="76" t="s">
        <v>29</v>
      </c>
      <c r="I1079" s="76" t="s">
        <v>30</v>
      </c>
      <c r="J1079" s="76" t="s">
        <v>31</v>
      </c>
      <c r="K1079" s="76" t="s">
        <v>32</v>
      </c>
      <c r="L1079" s="76" t="s">
        <v>33</v>
      </c>
      <c r="M1079" s="76" t="s">
        <v>34</v>
      </c>
      <c r="N1079" s="76" t="s">
        <v>35</v>
      </c>
      <c r="O1079" s="76" t="s">
        <v>36</v>
      </c>
      <c r="P1079" s="76" t="s">
        <v>37</v>
      </c>
      <c r="Q1079" s="77" t="s">
        <v>28</v>
      </c>
      <c r="R1079" s="204" t="s">
        <v>82</v>
      </c>
      <c r="S1079" s="78" t="s">
        <v>130</v>
      </c>
      <c r="T1079" s="78" t="s">
        <v>139</v>
      </c>
      <c r="U1079" s="78" t="s">
        <v>135</v>
      </c>
      <c r="V1079" s="78" t="s">
        <v>189</v>
      </c>
      <c r="W1079" s="79" t="s">
        <v>10</v>
      </c>
      <c r="X1079" s="80" t="s">
        <v>71</v>
      </c>
    </row>
    <row r="1080" spans="1:26" x14ac:dyDescent="0.2">
      <c r="A1080" s="18"/>
      <c r="B1080" s="33"/>
      <c r="C1080" s="33"/>
      <c r="D1080" s="33"/>
      <c r="E1080" s="33"/>
      <c r="F1080" s="33"/>
      <c r="G1080" s="34"/>
      <c r="H1080" s="33"/>
      <c r="I1080" s="33"/>
      <c r="J1080" s="33"/>
      <c r="K1080" s="33"/>
      <c r="L1080" s="33"/>
      <c r="M1080" s="33"/>
      <c r="N1080" s="33"/>
      <c r="O1080" s="33"/>
      <c r="P1080" s="33"/>
      <c r="Q1080" s="34"/>
      <c r="R1080" s="205"/>
      <c r="S1080" s="214"/>
      <c r="T1080" s="214"/>
      <c r="U1080" s="214"/>
      <c r="V1080" s="35"/>
      <c r="W1080" s="81"/>
      <c r="X1080" s="36"/>
    </row>
    <row r="1081" spans="1:26" ht="12.75" x14ac:dyDescent="0.2">
      <c r="A1081" s="82" t="s">
        <v>41</v>
      </c>
      <c r="B1081" s="38">
        <v>0</v>
      </c>
      <c r="C1081" s="38">
        <v>30850.240000000002</v>
      </c>
      <c r="D1081" s="38">
        <v>294810.08</v>
      </c>
      <c r="E1081" s="38">
        <v>83878.63</v>
      </c>
      <c r="F1081" s="38">
        <v>0</v>
      </c>
      <c r="G1081" s="39">
        <f>SUM(B1081:F1081)</f>
        <v>409538.95</v>
      </c>
      <c r="H1081" s="38">
        <v>0</v>
      </c>
      <c r="I1081" s="38">
        <v>0</v>
      </c>
      <c r="J1081" s="38">
        <v>96256.15</v>
      </c>
      <c r="K1081" s="38">
        <v>103016.75</v>
      </c>
      <c r="L1081" s="38">
        <v>0</v>
      </c>
      <c r="M1081" s="38">
        <v>0</v>
      </c>
      <c r="N1081" s="38">
        <v>1299.6500000000001</v>
      </c>
      <c r="O1081" s="38">
        <v>249668.54</v>
      </c>
      <c r="P1081" s="38">
        <v>0</v>
      </c>
      <c r="Q1081" s="39">
        <f>SUM(H1081:P1081)</f>
        <v>450241.08999999997</v>
      </c>
      <c r="R1081" s="39">
        <v>141910.54</v>
      </c>
      <c r="S1081" s="39">
        <v>245929.56</v>
      </c>
      <c r="T1081" s="39">
        <v>0</v>
      </c>
      <c r="U1081" s="39">
        <v>0</v>
      </c>
      <c r="V1081" s="39">
        <v>0</v>
      </c>
      <c r="W1081" s="83">
        <f>Q1081+G1081+R1081+S1081+T1081+U1081+V1081</f>
        <v>1247620.1400000001</v>
      </c>
      <c r="X1081" s="41"/>
      <c r="Z1081" s="220">
        <f>W1081-1247620.14</f>
        <v>0</v>
      </c>
    </row>
    <row r="1082" spans="1:26" ht="12.75" x14ac:dyDescent="0.2">
      <c r="A1082" s="82" t="s">
        <v>42</v>
      </c>
      <c r="B1082" s="141">
        <f t="shared" ref="B1082:W1082" si="290">B1067+B1081-B1033</f>
        <v>209924.87000000008</v>
      </c>
      <c r="C1082" s="141">
        <f t="shared" si="290"/>
        <v>1318626.4799999995</v>
      </c>
      <c r="D1082" s="141">
        <f t="shared" si="290"/>
        <v>3098423.9699999997</v>
      </c>
      <c r="E1082" s="141">
        <f t="shared" si="290"/>
        <v>2455520.8299999996</v>
      </c>
      <c r="F1082" s="141">
        <f t="shared" si="290"/>
        <v>-8.5856299847364426E-10</v>
      </c>
      <c r="G1082" s="172">
        <f t="shared" si="290"/>
        <v>7082496.150000006</v>
      </c>
      <c r="H1082" s="141">
        <f t="shared" si="290"/>
        <v>2589027.4700000016</v>
      </c>
      <c r="I1082" s="141">
        <f t="shared" si="290"/>
        <v>830532.15000000072</v>
      </c>
      <c r="J1082" s="141">
        <f t="shared" si="290"/>
        <v>1763513.600000001</v>
      </c>
      <c r="K1082" s="141">
        <f t="shared" si="290"/>
        <v>1704676.9200000002</v>
      </c>
      <c r="L1082" s="141">
        <f t="shared" si="290"/>
        <v>329097.93000000081</v>
      </c>
      <c r="M1082" s="141">
        <f t="shared" si="290"/>
        <v>355271.20000000036</v>
      </c>
      <c r="N1082" s="141">
        <f t="shared" si="290"/>
        <v>326288.02999999997</v>
      </c>
      <c r="O1082" s="141">
        <f t="shared" si="290"/>
        <v>2329487.0699999998</v>
      </c>
      <c r="P1082" s="141">
        <f t="shared" si="290"/>
        <v>913677.09</v>
      </c>
      <c r="Q1082" s="39">
        <f t="shared" si="290"/>
        <v>11141571.459999988</v>
      </c>
      <c r="R1082" s="172">
        <f t="shared" si="290"/>
        <v>1823782.3700000027</v>
      </c>
      <c r="S1082" s="172">
        <f t="shared" si="290"/>
        <v>7067120.8300000001</v>
      </c>
      <c r="T1082" s="172">
        <f t="shared" si="290"/>
        <v>3.092281986027956E-11</v>
      </c>
      <c r="U1082" s="172">
        <f t="shared" si="290"/>
        <v>1.0368239600211382E-10</v>
      </c>
      <c r="V1082" s="172">
        <f t="shared" si="290"/>
        <v>0</v>
      </c>
      <c r="W1082" s="83">
        <f t="shared" si="290"/>
        <v>27114970.809999995</v>
      </c>
      <c r="X1082" s="41">
        <f>X1067+W1081</f>
        <v>555346309.58840537</v>
      </c>
    </row>
    <row r="1083" spans="1:26" ht="12.75" x14ac:dyDescent="0.2">
      <c r="A1083" s="85"/>
      <c r="B1083" s="38"/>
      <c r="C1083" s="38"/>
      <c r="D1083" s="38"/>
      <c r="E1083" s="38"/>
      <c r="F1083" s="38"/>
      <c r="G1083" s="39"/>
      <c r="H1083" s="38"/>
      <c r="I1083" s="38"/>
      <c r="J1083" s="38"/>
      <c r="K1083" s="38"/>
      <c r="L1083" s="38"/>
      <c r="M1083" s="38"/>
      <c r="N1083" s="38"/>
      <c r="O1083" s="38"/>
      <c r="P1083" s="38"/>
      <c r="Q1083" s="39" t="s">
        <v>60</v>
      </c>
      <c r="R1083" s="47"/>
      <c r="S1083" s="47"/>
      <c r="T1083" s="47"/>
      <c r="U1083" s="47"/>
      <c r="V1083" s="43"/>
      <c r="W1083" s="83"/>
      <c r="X1083" s="41"/>
    </row>
    <row r="1084" spans="1:26" ht="12.75" x14ac:dyDescent="0.2">
      <c r="A1084" s="82" t="s">
        <v>43</v>
      </c>
      <c r="B1084" s="38">
        <v>0</v>
      </c>
      <c r="C1084" s="38">
        <v>45292.41</v>
      </c>
      <c r="D1084" s="38">
        <v>284657.08</v>
      </c>
      <c r="E1084" s="38">
        <v>108018.73</v>
      </c>
      <c r="F1084" s="38">
        <v>0</v>
      </c>
      <c r="G1084" s="39">
        <f>SUM(B1084:F1084)</f>
        <v>437968.22</v>
      </c>
      <c r="H1084" s="38">
        <v>0</v>
      </c>
      <c r="I1084" s="84">
        <v>0</v>
      </c>
      <c r="J1084" s="84">
        <v>104952.68</v>
      </c>
      <c r="K1084" s="84">
        <v>106883.46</v>
      </c>
      <c r="L1084" s="84">
        <v>0</v>
      </c>
      <c r="M1084" s="84">
        <v>0</v>
      </c>
      <c r="N1084" s="84">
        <v>84007.62</v>
      </c>
      <c r="O1084" s="84">
        <v>246487.76</v>
      </c>
      <c r="P1084" s="84">
        <v>0</v>
      </c>
      <c r="Q1084" s="255">
        <f>SUM(H1084:P1084)</f>
        <v>542331.52</v>
      </c>
      <c r="R1084" s="255">
        <v>108404.71</v>
      </c>
      <c r="S1084" s="255">
        <v>328850.89</v>
      </c>
      <c r="T1084" s="39">
        <v>0</v>
      </c>
      <c r="U1084" s="39">
        <v>0</v>
      </c>
      <c r="V1084" s="39">
        <v>0</v>
      </c>
      <c r="W1084" s="83">
        <f>Q1084+G1084+R1084+S1084+T1084+U1084+V1084</f>
        <v>1417555.3399999999</v>
      </c>
      <c r="X1084" s="41"/>
      <c r="Z1084" s="220">
        <f>W1084-1417555.34</f>
        <v>0</v>
      </c>
    </row>
    <row r="1085" spans="1:26" ht="12.75" x14ac:dyDescent="0.2">
      <c r="A1085" s="82" t="s">
        <v>42</v>
      </c>
      <c r="B1085" s="141">
        <f t="shared" ref="B1085:W1085" si="291">B1082+B1084-B1036</f>
        <v>203629.86000000007</v>
      </c>
      <c r="C1085" s="141">
        <f t="shared" si="291"/>
        <v>1300726.5499999993</v>
      </c>
      <c r="D1085" s="141">
        <f t="shared" si="291"/>
        <v>3297711.76</v>
      </c>
      <c r="E1085" s="141">
        <f t="shared" si="291"/>
        <v>2511220.8899999997</v>
      </c>
      <c r="F1085" s="141">
        <f t="shared" si="291"/>
        <v>-8.5856299847364426E-10</v>
      </c>
      <c r="G1085" s="39">
        <f t="shared" si="291"/>
        <v>7313289.0600000061</v>
      </c>
      <c r="H1085" s="141">
        <f t="shared" si="291"/>
        <v>2535124.0900000017</v>
      </c>
      <c r="I1085" s="141">
        <f t="shared" si="291"/>
        <v>830532.15000000072</v>
      </c>
      <c r="J1085" s="141">
        <f t="shared" si="291"/>
        <v>1798366.570000001</v>
      </c>
      <c r="K1085" s="141">
        <f t="shared" si="291"/>
        <v>1742950.05</v>
      </c>
      <c r="L1085" s="141">
        <f t="shared" si="291"/>
        <v>329097.93000000081</v>
      </c>
      <c r="M1085" s="141">
        <f t="shared" si="291"/>
        <v>355271.20000000036</v>
      </c>
      <c r="N1085" s="141">
        <f t="shared" si="291"/>
        <v>321446.28999999998</v>
      </c>
      <c r="O1085" s="141">
        <f t="shared" si="291"/>
        <v>2335482.35</v>
      </c>
      <c r="P1085" s="141">
        <f t="shared" si="291"/>
        <v>913677.09</v>
      </c>
      <c r="Q1085" s="39">
        <f t="shared" si="291"/>
        <v>11161947.719999988</v>
      </c>
      <c r="R1085" s="39">
        <f t="shared" si="291"/>
        <v>1554074.4600000028</v>
      </c>
      <c r="S1085" s="39">
        <f t="shared" si="291"/>
        <v>7054354.3499999996</v>
      </c>
      <c r="T1085" s="39">
        <f t="shared" si="291"/>
        <v>3.092281986027956E-11</v>
      </c>
      <c r="U1085" s="39">
        <f t="shared" si="291"/>
        <v>1.0368239600211382E-10</v>
      </c>
      <c r="V1085" s="39">
        <f t="shared" si="291"/>
        <v>0</v>
      </c>
      <c r="W1085" s="140">
        <f t="shared" si="291"/>
        <v>27083665.589999996</v>
      </c>
      <c r="X1085" s="41">
        <f>W1084+X1082</f>
        <v>556763864.9284054</v>
      </c>
    </row>
    <row r="1086" spans="1:26" ht="12.75" x14ac:dyDescent="0.2">
      <c r="A1086" s="85"/>
      <c r="B1086" s="44"/>
      <c r="C1086" s="44"/>
      <c r="D1086" s="44"/>
      <c r="E1086" s="44"/>
      <c r="F1086" s="44"/>
      <c r="G1086" s="45"/>
      <c r="H1086" s="44"/>
      <c r="I1086" s="44"/>
      <c r="J1086" s="44"/>
      <c r="K1086" s="44"/>
      <c r="L1086" s="44"/>
      <c r="M1086" s="44"/>
      <c r="N1086" s="44"/>
      <c r="O1086" s="44"/>
      <c r="P1086" s="44"/>
      <c r="Q1086" s="45"/>
      <c r="R1086" s="47"/>
      <c r="S1086" s="47"/>
      <c r="T1086" s="47"/>
      <c r="U1086" s="47"/>
      <c r="V1086" s="43"/>
      <c r="W1086" s="86"/>
      <c r="X1086" s="46"/>
    </row>
    <row r="1087" spans="1:26" ht="12.75" x14ac:dyDescent="0.2">
      <c r="A1087" s="82" t="s">
        <v>44</v>
      </c>
      <c r="B1087" s="38">
        <v>0</v>
      </c>
      <c r="C1087" s="38">
        <v>96216.13</v>
      </c>
      <c r="D1087" s="38">
        <v>294633.78999999998</v>
      </c>
      <c r="E1087" s="38">
        <v>86850.52</v>
      </c>
      <c r="F1087" s="38">
        <v>0</v>
      </c>
      <c r="G1087" s="39">
        <f>SUM(B1087:F1087)</f>
        <v>477700.44</v>
      </c>
      <c r="H1087" s="38">
        <v>0</v>
      </c>
      <c r="I1087" s="84">
        <v>0</v>
      </c>
      <c r="J1087" s="84">
        <v>93837.21</v>
      </c>
      <c r="K1087" s="84">
        <v>82978.179999999993</v>
      </c>
      <c r="L1087" s="84">
        <v>0</v>
      </c>
      <c r="M1087" s="84">
        <v>11064.86</v>
      </c>
      <c r="N1087" s="84">
        <v>124856.21</v>
      </c>
      <c r="O1087" s="84">
        <v>262197.36</v>
      </c>
      <c r="P1087" s="38">
        <v>76645.679999999993</v>
      </c>
      <c r="Q1087" s="39">
        <f>SUM(H1087:P1087)</f>
        <v>651579.5</v>
      </c>
      <c r="R1087" s="39">
        <v>225774.82</v>
      </c>
      <c r="S1087" s="255">
        <v>111790.5</v>
      </c>
      <c r="T1087" s="39">
        <v>0</v>
      </c>
      <c r="U1087" s="39">
        <v>0</v>
      </c>
      <c r="V1087" s="39">
        <v>0</v>
      </c>
      <c r="W1087" s="83">
        <f>Q1087+G1087+R1087+S1087+T1087+U1087+V1087</f>
        <v>1466845.26</v>
      </c>
      <c r="X1087" s="41"/>
      <c r="Z1087" s="220">
        <f>W1087-1466845.26</f>
        <v>0</v>
      </c>
    </row>
    <row r="1088" spans="1:26" ht="12.75" x14ac:dyDescent="0.2">
      <c r="A1088" s="82" t="s">
        <v>42</v>
      </c>
      <c r="B1088" s="141">
        <f t="shared" ref="B1088:W1088" si="292">B1085+B1087-B1039</f>
        <v>203629.86000000007</v>
      </c>
      <c r="C1088" s="141">
        <f t="shared" si="292"/>
        <v>1279861.5199999993</v>
      </c>
      <c r="D1088" s="141">
        <f t="shared" si="292"/>
        <v>3314077.08</v>
      </c>
      <c r="E1088" s="141">
        <f t="shared" si="292"/>
        <v>2488880.5799999996</v>
      </c>
      <c r="F1088" s="141">
        <f t="shared" si="292"/>
        <v>-8.5856299847364426E-10</v>
      </c>
      <c r="G1088" s="39">
        <f t="shared" si="292"/>
        <v>7286449.0400000066</v>
      </c>
      <c r="H1088" s="141">
        <f t="shared" si="292"/>
        <v>2494967.7500000019</v>
      </c>
      <c r="I1088" s="141">
        <f t="shared" si="292"/>
        <v>830532.15000000072</v>
      </c>
      <c r="J1088" s="141">
        <f t="shared" si="292"/>
        <v>1747966.1600000011</v>
      </c>
      <c r="K1088" s="141">
        <f t="shared" si="292"/>
        <v>1692405.16</v>
      </c>
      <c r="L1088" s="141">
        <f t="shared" si="292"/>
        <v>329097.93000000081</v>
      </c>
      <c r="M1088" s="141">
        <f t="shared" si="292"/>
        <v>366336.06000000035</v>
      </c>
      <c r="N1088" s="141">
        <f t="shared" si="292"/>
        <v>298007.73</v>
      </c>
      <c r="O1088" s="141">
        <f t="shared" si="292"/>
        <v>2430203.69</v>
      </c>
      <c r="P1088" s="141">
        <f t="shared" si="292"/>
        <v>944718.93</v>
      </c>
      <c r="Q1088" s="39">
        <f t="shared" si="292"/>
        <v>11134235.559999987</v>
      </c>
      <c r="R1088" s="39">
        <f t="shared" si="292"/>
        <v>1524141.8000000028</v>
      </c>
      <c r="S1088" s="39">
        <f t="shared" si="292"/>
        <v>6769456.6499999994</v>
      </c>
      <c r="T1088" s="39">
        <f t="shared" si="292"/>
        <v>3.092281986027956E-11</v>
      </c>
      <c r="U1088" s="39">
        <f t="shared" si="292"/>
        <v>1.0368239600211382E-10</v>
      </c>
      <c r="V1088" s="226">
        <f t="shared" si="292"/>
        <v>0</v>
      </c>
      <c r="W1088" s="83">
        <f t="shared" si="292"/>
        <v>26714283.049999997</v>
      </c>
      <c r="X1088" s="41">
        <f>W1087+X1085</f>
        <v>558230710.18840539</v>
      </c>
    </row>
    <row r="1089" spans="1:26" ht="12.75" x14ac:dyDescent="0.2">
      <c r="A1089" s="85"/>
      <c r="B1089" s="43"/>
      <c r="C1089" s="43"/>
      <c r="D1089" s="43"/>
      <c r="E1089" s="43"/>
      <c r="F1089" s="43"/>
      <c r="G1089" s="47"/>
      <c r="H1089" s="43"/>
      <c r="I1089" s="43"/>
      <c r="J1089" s="43"/>
      <c r="K1089" s="43"/>
      <c r="L1089" s="43"/>
      <c r="M1089" s="43"/>
      <c r="N1089" s="43"/>
      <c r="O1089" s="43"/>
      <c r="P1089" s="43"/>
      <c r="Q1089" s="47"/>
      <c r="R1089" s="47"/>
      <c r="S1089" s="47"/>
      <c r="T1089" s="47"/>
      <c r="U1089" s="47"/>
      <c r="V1089" s="43"/>
      <c r="W1089" s="87"/>
      <c r="X1089" s="46"/>
    </row>
    <row r="1090" spans="1:26" ht="12.75" x14ac:dyDescent="0.2">
      <c r="A1090" s="82" t="s">
        <v>45</v>
      </c>
      <c r="B1090" s="38">
        <v>0</v>
      </c>
      <c r="C1090" s="38">
        <v>165093.81</v>
      </c>
      <c r="D1090" s="38">
        <v>303556.14</v>
      </c>
      <c r="E1090" s="38">
        <v>0</v>
      </c>
      <c r="F1090" s="38">
        <v>0</v>
      </c>
      <c r="G1090" s="39">
        <f>SUM(B1090:F1090)</f>
        <v>468649.95</v>
      </c>
      <c r="H1090" s="38">
        <v>0</v>
      </c>
      <c r="I1090" s="38">
        <v>0</v>
      </c>
      <c r="J1090" s="38">
        <v>155784.88</v>
      </c>
      <c r="K1090" s="38">
        <v>144689.53</v>
      </c>
      <c r="L1090" s="38">
        <v>0</v>
      </c>
      <c r="M1090" s="38">
        <v>27156.75</v>
      </c>
      <c r="N1090" s="38">
        <v>118278.9</v>
      </c>
      <c r="O1090" s="38">
        <v>193341.1</v>
      </c>
      <c r="P1090" s="38">
        <v>221416.67</v>
      </c>
      <c r="Q1090" s="39">
        <f>SUM(H1090:P1090)</f>
        <v>860667.83000000007</v>
      </c>
      <c r="R1090" s="39">
        <v>180989.71</v>
      </c>
      <c r="S1090" s="39">
        <v>166386.46</v>
      </c>
      <c r="T1090" s="39">
        <v>0</v>
      </c>
      <c r="U1090" s="39">
        <v>0</v>
      </c>
      <c r="V1090" s="39">
        <v>0</v>
      </c>
      <c r="W1090" s="83">
        <f>Q1090+G1090+R1090+S1090+T1090+U1090+V1090</f>
        <v>1676693.95</v>
      </c>
      <c r="X1090" s="41" t="s">
        <v>60</v>
      </c>
      <c r="Z1090" s="220">
        <f>W1090-1676693.95</f>
        <v>0</v>
      </c>
    </row>
    <row r="1091" spans="1:26" ht="12.75" x14ac:dyDescent="0.2">
      <c r="A1091" s="82" t="s">
        <v>42</v>
      </c>
      <c r="B1091" s="141">
        <f t="shared" ref="B1091:W1091" si="293">B1088+B1090-B1042</f>
        <v>191039.84000000008</v>
      </c>
      <c r="C1091" s="141">
        <f t="shared" si="293"/>
        <v>1342673.6899999995</v>
      </c>
      <c r="D1091" s="141">
        <f t="shared" si="293"/>
        <v>3310300.4000000004</v>
      </c>
      <c r="E1091" s="141">
        <f t="shared" si="293"/>
        <v>2269115.4099999997</v>
      </c>
      <c r="F1091" s="141">
        <f t="shared" si="293"/>
        <v>-8.5856299847364426E-10</v>
      </c>
      <c r="G1091" s="39">
        <f t="shared" si="293"/>
        <v>7113129.3400000064</v>
      </c>
      <c r="H1091" s="141">
        <f t="shared" si="293"/>
        <v>2459239.910000002</v>
      </c>
      <c r="I1091" s="141">
        <f t="shared" si="293"/>
        <v>830532.15000000072</v>
      </c>
      <c r="J1091" s="141">
        <f t="shared" si="293"/>
        <v>1776062.320000001</v>
      </c>
      <c r="K1091" s="141">
        <f t="shared" si="293"/>
        <v>1714073.31</v>
      </c>
      <c r="L1091" s="141">
        <f t="shared" si="293"/>
        <v>302574.3600000008</v>
      </c>
      <c r="M1091" s="141">
        <f t="shared" si="293"/>
        <v>393492.81000000035</v>
      </c>
      <c r="N1091" s="141">
        <f t="shared" si="293"/>
        <v>328951.52</v>
      </c>
      <c r="O1091" s="141">
        <f t="shared" si="293"/>
        <v>2363724.34</v>
      </c>
      <c r="P1091" s="141">
        <f t="shared" si="293"/>
        <v>1166135.6000000001</v>
      </c>
      <c r="Q1091" s="39">
        <f t="shared" si="293"/>
        <v>11334786.319999987</v>
      </c>
      <c r="R1091" s="39">
        <f t="shared" si="293"/>
        <v>1666940.4800000028</v>
      </c>
      <c r="S1091" s="39">
        <f t="shared" si="293"/>
        <v>6706818.6799999997</v>
      </c>
      <c r="T1091" s="39">
        <f t="shared" si="293"/>
        <v>3.092281986027956E-11</v>
      </c>
      <c r="U1091" s="39">
        <f t="shared" si="293"/>
        <v>1.0368239600211382E-10</v>
      </c>
      <c r="V1091" s="39">
        <f t="shared" si="293"/>
        <v>0</v>
      </c>
      <c r="W1091" s="140">
        <f t="shared" si="293"/>
        <v>26821674.819999997</v>
      </c>
      <c r="X1091" s="41">
        <f>W1090+X1088</f>
        <v>559907404.13840544</v>
      </c>
    </row>
    <row r="1092" spans="1:26" ht="12.75" x14ac:dyDescent="0.2">
      <c r="A1092" s="85"/>
      <c r="B1092" s="44"/>
      <c r="C1092" s="44"/>
      <c r="D1092" s="44"/>
      <c r="E1092" s="44"/>
      <c r="F1092" s="43"/>
      <c r="G1092" s="45"/>
      <c r="H1092" s="44"/>
      <c r="I1092" s="44"/>
      <c r="J1092" s="44"/>
      <c r="K1092" s="44"/>
      <c r="L1092" s="44"/>
      <c r="M1092" s="44"/>
      <c r="N1092" s="44"/>
      <c r="O1092" s="44"/>
      <c r="P1092" s="44"/>
      <c r="Q1092" s="45"/>
      <c r="R1092" s="47"/>
      <c r="S1092" s="47"/>
      <c r="T1092" s="47"/>
      <c r="U1092" s="47"/>
      <c r="V1092" s="43"/>
      <c r="W1092" s="86"/>
      <c r="X1092" s="46"/>
    </row>
    <row r="1093" spans="1:26" ht="12.75" x14ac:dyDescent="0.2">
      <c r="A1093" s="82" t="s">
        <v>46</v>
      </c>
      <c r="B1093" s="38">
        <v>0</v>
      </c>
      <c r="C1093" s="38">
        <v>163095.07</v>
      </c>
      <c r="D1093" s="38">
        <v>297973.45</v>
      </c>
      <c r="E1093" s="38">
        <v>5939.66</v>
      </c>
      <c r="F1093" s="38">
        <v>0</v>
      </c>
      <c r="G1093" s="39">
        <f>SUM(B1093:F1093)</f>
        <v>467008.18</v>
      </c>
      <c r="H1093" s="38">
        <v>0</v>
      </c>
      <c r="I1093" s="38">
        <v>0</v>
      </c>
      <c r="J1093" s="38">
        <v>85726.67</v>
      </c>
      <c r="K1093" s="38">
        <v>94965.25</v>
      </c>
      <c r="L1093" s="38">
        <v>0</v>
      </c>
      <c r="M1093" s="38">
        <v>0</v>
      </c>
      <c r="N1093" s="38">
        <v>39631.160000000003</v>
      </c>
      <c r="O1093" s="38">
        <v>101580.91</v>
      </c>
      <c r="P1093" s="38">
        <v>0</v>
      </c>
      <c r="Q1093" s="39">
        <f>SUM(H1093:P1093)</f>
        <v>321903.99</v>
      </c>
      <c r="R1093" s="39">
        <v>79789.210000000006</v>
      </c>
      <c r="S1093" s="39">
        <v>83539.94</v>
      </c>
      <c r="T1093" s="39">
        <v>0</v>
      </c>
      <c r="U1093" s="39">
        <v>0</v>
      </c>
      <c r="V1093" s="39">
        <v>0</v>
      </c>
      <c r="W1093" s="83">
        <f>Q1093+G1093+R1093+S1093+T1093+U1093+V1093</f>
        <v>952241.31999999983</v>
      </c>
      <c r="X1093" s="41"/>
      <c r="Z1093" s="220">
        <f>W1093-952241.31</f>
        <v>9.9999997764825821E-3</v>
      </c>
    </row>
    <row r="1094" spans="1:26" ht="12.75" x14ac:dyDescent="0.2">
      <c r="A1094" s="82" t="s">
        <v>42</v>
      </c>
      <c r="B1094" s="141">
        <f t="shared" ref="B1094:W1094" si="294">B1091+B1093-B1045</f>
        <v>162849.15000000008</v>
      </c>
      <c r="C1094" s="141">
        <f t="shared" si="294"/>
        <v>1424483.6099999996</v>
      </c>
      <c r="D1094" s="141">
        <f t="shared" si="294"/>
        <v>3281038.9800000004</v>
      </c>
      <c r="E1094" s="141">
        <f t="shared" si="294"/>
        <v>1887304.4799999997</v>
      </c>
      <c r="F1094" s="141">
        <f t="shared" si="294"/>
        <v>-8.5856299847364426E-10</v>
      </c>
      <c r="G1094" s="39">
        <f t="shared" si="294"/>
        <v>6755676.2200000063</v>
      </c>
      <c r="H1094" s="141">
        <f t="shared" si="294"/>
        <v>2112765.9600000018</v>
      </c>
      <c r="I1094" s="141">
        <f t="shared" si="294"/>
        <v>830532.15000000072</v>
      </c>
      <c r="J1094" s="141">
        <f t="shared" si="294"/>
        <v>1750094.2200000009</v>
      </c>
      <c r="K1094" s="141">
        <f t="shared" si="294"/>
        <v>1707771.69</v>
      </c>
      <c r="L1094" s="141">
        <f t="shared" si="294"/>
        <v>120452.21000000081</v>
      </c>
      <c r="M1094" s="141">
        <f t="shared" si="294"/>
        <v>393492.81000000035</v>
      </c>
      <c r="N1094" s="141">
        <f t="shared" si="294"/>
        <v>368582.68000000005</v>
      </c>
      <c r="O1094" s="141">
        <f t="shared" si="294"/>
        <v>2304207.58</v>
      </c>
      <c r="P1094" s="141">
        <f t="shared" si="294"/>
        <v>1146558.8</v>
      </c>
      <c r="Q1094" s="39">
        <f t="shared" si="294"/>
        <v>10734458.099999987</v>
      </c>
      <c r="R1094" s="39">
        <f t="shared" si="294"/>
        <v>1746729.6900000027</v>
      </c>
      <c r="S1094" s="39">
        <f t="shared" si="294"/>
        <v>6656254.5899999999</v>
      </c>
      <c r="T1094" s="39">
        <f t="shared" si="294"/>
        <v>3.092281986027956E-11</v>
      </c>
      <c r="U1094" s="39">
        <f t="shared" si="294"/>
        <v>1.0368239600211382E-10</v>
      </c>
      <c r="V1094" s="39">
        <f t="shared" si="294"/>
        <v>0</v>
      </c>
      <c r="W1094" s="140">
        <f t="shared" si="294"/>
        <v>25893118.599999998</v>
      </c>
      <c r="X1094" s="41">
        <f>W1093+X1091</f>
        <v>560859645.45840549</v>
      </c>
    </row>
    <row r="1095" spans="1:26" ht="12.75" x14ac:dyDescent="0.2">
      <c r="A1095" s="85"/>
      <c r="B1095" s="44"/>
      <c r="C1095" s="44"/>
      <c r="D1095" s="44"/>
      <c r="E1095" s="44"/>
      <c r="F1095" s="44"/>
      <c r="G1095" s="45"/>
      <c r="H1095" s="44"/>
      <c r="I1095" s="44"/>
      <c r="J1095" s="44"/>
      <c r="K1095" s="44"/>
      <c r="L1095" s="44"/>
      <c r="M1095" s="44"/>
      <c r="N1095" s="44"/>
      <c r="O1095" s="44"/>
      <c r="P1095" s="44"/>
      <c r="Q1095" s="45"/>
      <c r="R1095" s="47"/>
      <c r="S1095" s="47"/>
      <c r="T1095" s="47"/>
      <c r="U1095" s="47"/>
      <c r="V1095" s="43"/>
      <c r="W1095" s="86"/>
      <c r="X1095" s="46"/>
    </row>
    <row r="1096" spans="1:26" ht="12.75" x14ac:dyDescent="0.2">
      <c r="A1096" s="82" t="s">
        <v>47</v>
      </c>
      <c r="B1096" s="38">
        <v>0</v>
      </c>
      <c r="C1096" s="38">
        <v>169723.14</v>
      </c>
      <c r="D1096" s="38">
        <v>236483.28</v>
      </c>
      <c r="E1096" s="38">
        <v>67714.5</v>
      </c>
      <c r="F1096" s="38">
        <v>0</v>
      </c>
      <c r="G1096" s="39">
        <f>SUM(B1096:F1096)</f>
        <v>473920.92000000004</v>
      </c>
      <c r="H1096" s="38">
        <v>0</v>
      </c>
      <c r="I1096" s="38">
        <v>0</v>
      </c>
      <c r="J1096" s="38">
        <v>172166.25</v>
      </c>
      <c r="K1096" s="38">
        <v>168264.54</v>
      </c>
      <c r="L1096" s="38">
        <v>0</v>
      </c>
      <c r="M1096" s="38">
        <v>0</v>
      </c>
      <c r="N1096" s="38">
        <v>123673.21</v>
      </c>
      <c r="O1096" s="38">
        <v>225493.82</v>
      </c>
      <c r="P1096" s="38">
        <v>0</v>
      </c>
      <c r="Q1096" s="39">
        <f>SUM(H1096:P1096)</f>
        <v>689597.82000000007</v>
      </c>
      <c r="R1096" s="39">
        <v>44233.29</v>
      </c>
      <c r="S1096" s="39">
        <v>213292.61</v>
      </c>
      <c r="T1096" s="39">
        <v>0</v>
      </c>
      <c r="U1096" s="39">
        <v>0</v>
      </c>
      <c r="V1096" s="39">
        <v>0</v>
      </c>
      <c r="W1096" s="83">
        <f>Q1096+G1096+R1096+S1096+T1096+U1096+V1096</f>
        <v>1421044.6400000001</v>
      </c>
      <c r="X1096" s="41"/>
      <c r="Z1096" s="220">
        <f>W1096-1421044.64</f>
        <v>0</v>
      </c>
    </row>
    <row r="1097" spans="1:26" ht="12.75" x14ac:dyDescent="0.2">
      <c r="A1097" s="82" t="s">
        <v>42</v>
      </c>
      <c r="B1097" s="141">
        <f t="shared" ref="B1097:W1097" si="295">B1094+B1096-B1048</f>
        <v>148616.96000000008</v>
      </c>
      <c r="C1097" s="141">
        <f t="shared" si="295"/>
        <v>1463137.0299999996</v>
      </c>
      <c r="D1097" s="141">
        <f t="shared" si="295"/>
        <v>3202664.7800000003</v>
      </c>
      <c r="E1097" s="141">
        <f t="shared" si="295"/>
        <v>1590409.9299999997</v>
      </c>
      <c r="F1097" s="141">
        <f t="shared" si="295"/>
        <v>-8.5856299847364426E-10</v>
      </c>
      <c r="G1097" s="39">
        <f t="shared" si="295"/>
        <v>6404828.7000000067</v>
      </c>
      <c r="H1097" s="141">
        <f t="shared" si="295"/>
        <v>1741317.1900000018</v>
      </c>
      <c r="I1097" s="141">
        <f t="shared" si="295"/>
        <v>740035.21000000066</v>
      </c>
      <c r="J1097" s="141">
        <f t="shared" si="295"/>
        <v>1705747.330000001</v>
      </c>
      <c r="K1097" s="141">
        <f t="shared" si="295"/>
        <v>1661326.17</v>
      </c>
      <c r="L1097" s="141">
        <f t="shared" si="295"/>
        <v>120452.21000000081</v>
      </c>
      <c r="M1097" s="141">
        <f t="shared" si="295"/>
        <v>336474.94000000035</v>
      </c>
      <c r="N1097" s="141">
        <f t="shared" si="295"/>
        <v>492255.89000000007</v>
      </c>
      <c r="O1097" s="141">
        <f t="shared" si="295"/>
        <v>2355317.33</v>
      </c>
      <c r="P1097" s="141">
        <f t="shared" si="295"/>
        <v>1097757.48</v>
      </c>
      <c r="Q1097" s="39">
        <f t="shared" si="295"/>
        <v>10250683.749999987</v>
      </c>
      <c r="R1097" s="39">
        <f t="shared" si="295"/>
        <v>1790962.9800000028</v>
      </c>
      <c r="S1097" s="39">
        <f t="shared" si="295"/>
        <v>6030450.5700000003</v>
      </c>
      <c r="T1097" s="39">
        <f t="shared" si="295"/>
        <v>3.092281986027956E-11</v>
      </c>
      <c r="U1097" s="39">
        <f t="shared" si="295"/>
        <v>1.0368239600211382E-10</v>
      </c>
      <c r="V1097" s="39">
        <f t="shared" si="295"/>
        <v>0</v>
      </c>
      <c r="W1097" s="140">
        <f t="shared" si="295"/>
        <v>24476926</v>
      </c>
      <c r="X1097" s="41">
        <f>W1096+X1094</f>
        <v>562280690.09840548</v>
      </c>
    </row>
    <row r="1098" spans="1:26" ht="12.75" x14ac:dyDescent="0.2">
      <c r="A1098" s="85"/>
      <c r="B1098" s="43"/>
      <c r="C1098" s="43"/>
      <c r="D1098" s="43"/>
      <c r="E1098" s="43"/>
      <c r="F1098" s="43"/>
      <c r="G1098" s="47"/>
      <c r="H1098" s="43"/>
      <c r="I1098" s="43"/>
      <c r="J1098" s="43"/>
      <c r="K1098" s="43"/>
      <c r="L1098" s="43"/>
      <c r="M1098" s="43"/>
      <c r="N1098" s="43"/>
      <c r="O1098" s="43"/>
      <c r="P1098" s="43"/>
      <c r="Q1098" s="47"/>
      <c r="R1098" s="47"/>
      <c r="S1098" s="47"/>
      <c r="T1098" s="47"/>
      <c r="U1098" s="47"/>
      <c r="V1098" s="43"/>
      <c r="W1098" s="87"/>
      <c r="X1098" s="46"/>
    </row>
    <row r="1099" spans="1:26" ht="12.75" x14ac:dyDescent="0.2">
      <c r="A1099" s="82" t="s">
        <v>48</v>
      </c>
      <c r="B1099" s="38">
        <v>0</v>
      </c>
      <c r="C1099" s="38">
        <v>170184.69</v>
      </c>
      <c r="D1099" s="38">
        <v>289762.78999999998</v>
      </c>
      <c r="E1099" s="38">
        <v>0</v>
      </c>
      <c r="F1099" s="38">
        <v>0</v>
      </c>
      <c r="G1099" s="39">
        <f>SUM(B1099:F1099)</f>
        <v>459947.48</v>
      </c>
      <c r="H1099" s="38">
        <v>0</v>
      </c>
      <c r="I1099" s="38">
        <v>0</v>
      </c>
      <c r="J1099" s="38">
        <v>175833.65</v>
      </c>
      <c r="K1099" s="38">
        <v>173113.43</v>
      </c>
      <c r="L1099" s="38">
        <v>0</v>
      </c>
      <c r="M1099" s="38">
        <v>0</v>
      </c>
      <c r="N1099" s="38">
        <v>139580.94</v>
      </c>
      <c r="O1099" s="291">
        <v>301419.69</v>
      </c>
      <c r="P1099" s="38">
        <v>0</v>
      </c>
      <c r="Q1099" s="39">
        <f>SUM(H1099:P1099)</f>
        <v>789947.71</v>
      </c>
      <c r="R1099" s="39">
        <v>118201.29</v>
      </c>
      <c r="S1099" s="39">
        <v>292363.21999999997</v>
      </c>
      <c r="T1099" s="39">
        <v>0</v>
      </c>
      <c r="U1099" s="39">
        <v>0</v>
      </c>
      <c r="V1099" s="39">
        <v>0</v>
      </c>
      <c r="W1099" s="83">
        <f>Q1099+G1099+R1099+S1099+T1099+U1099+V1099</f>
        <v>1660459.7</v>
      </c>
      <c r="X1099" s="41"/>
      <c r="Z1099" s="220">
        <f>W1099-1660459.71</f>
        <v>-1.0000000009313226E-2</v>
      </c>
    </row>
    <row r="1100" spans="1:26" ht="12.75" x14ac:dyDescent="0.2">
      <c r="A1100" s="82" t="s">
        <v>42</v>
      </c>
      <c r="B1100" s="141">
        <f t="shared" ref="B1100:W1100" si="296">B1097+B1099-B1051</f>
        <v>119057.79000000008</v>
      </c>
      <c r="C1100" s="141">
        <f t="shared" si="296"/>
        <v>1441030.4199999995</v>
      </c>
      <c r="D1100" s="141">
        <f t="shared" si="296"/>
        <v>3188940.8600000003</v>
      </c>
      <c r="E1100" s="141">
        <f t="shared" si="296"/>
        <v>1486470.5099999998</v>
      </c>
      <c r="F1100" s="141">
        <f t="shared" si="296"/>
        <v>-8.5856299847364426E-10</v>
      </c>
      <c r="G1100" s="39">
        <f t="shared" si="296"/>
        <v>6235499.5800000075</v>
      </c>
      <c r="H1100" s="141">
        <f t="shared" si="296"/>
        <v>1341095.2400000019</v>
      </c>
      <c r="I1100" s="141">
        <f t="shared" si="296"/>
        <v>413403.02000000066</v>
      </c>
      <c r="J1100" s="141">
        <f t="shared" si="296"/>
        <v>1662910.2100000009</v>
      </c>
      <c r="K1100" s="141">
        <f t="shared" si="296"/>
        <v>1622753.15</v>
      </c>
      <c r="L1100" s="141">
        <f t="shared" si="296"/>
        <v>120452.21000000081</v>
      </c>
      <c r="M1100" s="141">
        <f t="shared" si="296"/>
        <v>272084.52000000037</v>
      </c>
      <c r="N1100" s="141">
        <f t="shared" si="296"/>
        <v>631712.89000000013</v>
      </c>
      <c r="O1100" s="141">
        <f t="shared" si="296"/>
        <v>2526821.35</v>
      </c>
      <c r="P1100" s="141">
        <f t="shared" si="296"/>
        <v>896675.97</v>
      </c>
      <c r="Q1100" s="39">
        <f t="shared" si="296"/>
        <v>9487908.5599999856</v>
      </c>
      <c r="R1100" s="39">
        <f t="shared" si="296"/>
        <v>1862235.0900000029</v>
      </c>
      <c r="S1100" s="39">
        <f t="shared" si="296"/>
        <v>5419231.5099999998</v>
      </c>
      <c r="T1100" s="39">
        <f t="shared" si="296"/>
        <v>3.092281986027956E-11</v>
      </c>
      <c r="U1100" s="39">
        <f t="shared" si="296"/>
        <v>1.0368239600211382E-10</v>
      </c>
      <c r="V1100" s="39">
        <f t="shared" si="296"/>
        <v>0</v>
      </c>
      <c r="W1100" s="298">
        <f t="shared" si="296"/>
        <v>23004874.739999998</v>
      </c>
      <c r="X1100" s="41">
        <f>W1099+X1097</f>
        <v>563941149.79840553</v>
      </c>
    </row>
    <row r="1101" spans="1:26" ht="12.75" x14ac:dyDescent="0.2">
      <c r="A1101" s="85"/>
      <c r="B1101" s="44"/>
      <c r="C1101" s="44"/>
      <c r="D1101" s="44"/>
      <c r="E1101" s="44"/>
      <c r="F1101" s="44"/>
      <c r="G1101" s="45"/>
      <c r="H1101" s="44"/>
      <c r="I1101" s="44"/>
      <c r="J1101" s="44"/>
      <c r="K1101" s="44"/>
      <c r="L1101" s="44"/>
      <c r="M1101" s="44"/>
      <c r="N1101" s="44"/>
      <c r="O1101" s="44"/>
      <c r="P1101" s="44"/>
      <c r="Q1101" s="45"/>
      <c r="R1101" s="47"/>
      <c r="S1101" s="47"/>
      <c r="T1101" s="47"/>
      <c r="U1101" s="47"/>
      <c r="V1101" s="43"/>
      <c r="W1101" s="86"/>
      <c r="X1101" s="46"/>
    </row>
    <row r="1102" spans="1:26" ht="12.75" x14ac:dyDescent="0.2">
      <c r="A1102" s="82" t="s">
        <v>49</v>
      </c>
      <c r="B1102" s="38">
        <v>0</v>
      </c>
      <c r="C1102" s="38">
        <v>163389.64000000001</v>
      </c>
      <c r="D1102" s="38">
        <v>315909.96999999997</v>
      </c>
      <c r="E1102" s="38">
        <v>0</v>
      </c>
      <c r="F1102" s="38">
        <v>0</v>
      </c>
      <c r="G1102" s="39">
        <f>SUM(B1102:F1102)</f>
        <v>479299.61</v>
      </c>
      <c r="H1102" s="38">
        <v>0</v>
      </c>
      <c r="I1102" s="38">
        <v>0</v>
      </c>
      <c r="J1102" s="38">
        <v>167411.75</v>
      </c>
      <c r="K1102" s="38">
        <v>167546.35</v>
      </c>
      <c r="L1102" s="38">
        <v>0</v>
      </c>
      <c r="M1102" s="38">
        <v>0</v>
      </c>
      <c r="N1102" s="38">
        <v>154229.71</v>
      </c>
      <c r="O1102" s="38">
        <v>203589.13</v>
      </c>
      <c r="P1102" s="38">
        <v>0</v>
      </c>
      <c r="Q1102" s="39">
        <f>SUM(H1102:P1102)</f>
        <v>692776.94</v>
      </c>
      <c r="R1102" s="39">
        <v>106770.25</v>
      </c>
      <c r="S1102" s="39">
        <v>225338.22</v>
      </c>
      <c r="T1102" s="39">
        <v>0</v>
      </c>
      <c r="U1102" s="39">
        <v>0</v>
      </c>
      <c r="V1102" s="39">
        <v>0</v>
      </c>
      <c r="W1102" s="83">
        <f>Q1102+G1102+R1102+S1102+T1102+U1102+V1102</f>
        <v>1504185.0199999998</v>
      </c>
      <c r="X1102" s="41"/>
      <c r="Z1102" s="220">
        <f>W1102-1504185.02</f>
        <v>0</v>
      </c>
    </row>
    <row r="1103" spans="1:26" ht="12.75" x14ac:dyDescent="0.2">
      <c r="A1103" s="82" t="s">
        <v>42</v>
      </c>
      <c r="B1103" s="141">
        <f t="shared" ref="B1103:W1103" si="297">B1100+B1102-B1054</f>
        <v>88951.230000000083</v>
      </c>
      <c r="C1103" s="141">
        <f t="shared" si="297"/>
        <v>1421825.7599999995</v>
      </c>
      <c r="D1103" s="141">
        <f t="shared" si="297"/>
        <v>3218338.23</v>
      </c>
      <c r="E1103" s="141">
        <f t="shared" si="297"/>
        <v>1253446.1899999997</v>
      </c>
      <c r="F1103" s="141">
        <f t="shared" si="297"/>
        <v>-8.5856299847364426E-10</v>
      </c>
      <c r="G1103" s="39">
        <f t="shared" si="297"/>
        <v>5982561.4100000076</v>
      </c>
      <c r="H1103" s="141">
        <f t="shared" si="297"/>
        <v>933523.95000000182</v>
      </c>
      <c r="I1103" s="141">
        <f t="shared" si="297"/>
        <v>9801.1900000006426</v>
      </c>
      <c r="J1103" s="141">
        <f t="shared" si="297"/>
        <v>1586286.6100000008</v>
      </c>
      <c r="K1103" s="141">
        <f t="shared" si="297"/>
        <v>1557562.44</v>
      </c>
      <c r="L1103" s="141">
        <f t="shared" si="297"/>
        <v>120452.21000000081</v>
      </c>
      <c r="M1103" s="141">
        <f t="shared" si="297"/>
        <v>211269.57000000036</v>
      </c>
      <c r="N1103" s="141">
        <f t="shared" si="297"/>
        <v>785942.60000000009</v>
      </c>
      <c r="O1103" s="141">
        <f t="shared" si="297"/>
        <v>2557536.65</v>
      </c>
      <c r="P1103" s="141">
        <f t="shared" si="297"/>
        <v>734055.13</v>
      </c>
      <c r="Q1103" s="39">
        <f t="shared" si="297"/>
        <v>8496430.3499999847</v>
      </c>
      <c r="R1103" s="39">
        <f t="shared" si="297"/>
        <v>1894864.680000003</v>
      </c>
      <c r="S1103" s="39">
        <f t="shared" si="297"/>
        <v>4259733.5</v>
      </c>
      <c r="T1103" s="39">
        <f t="shared" si="297"/>
        <v>3.092281986027956E-11</v>
      </c>
      <c r="U1103" s="39">
        <f t="shared" si="297"/>
        <v>1.0368239600211382E-10</v>
      </c>
      <c r="V1103" s="39">
        <f t="shared" si="297"/>
        <v>0</v>
      </c>
      <c r="W1103" s="140">
        <f t="shared" si="297"/>
        <v>20633589.939999998</v>
      </c>
      <c r="X1103" s="41">
        <f>W1102+X1100</f>
        <v>565445334.81840551</v>
      </c>
    </row>
    <row r="1104" spans="1:26" ht="12.75" x14ac:dyDescent="0.2">
      <c r="A1104" s="85"/>
      <c r="B1104" s="43"/>
      <c r="C1104" s="43"/>
      <c r="D1104" s="43"/>
      <c r="E1104" s="43"/>
      <c r="F1104" s="43"/>
      <c r="G1104" s="47"/>
      <c r="H1104" s="43"/>
      <c r="I1104" s="43"/>
      <c r="J1104" s="43"/>
      <c r="K1104" s="43"/>
      <c r="L1104" s="43"/>
      <c r="M1104" s="43"/>
      <c r="N1104" s="43"/>
      <c r="O1104" s="43"/>
      <c r="P1104" s="43"/>
      <c r="Q1104" s="47"/>
      <c r="R1104" s="47"/>
      <c r="S1104" s="47"/>
      <c r="T1104" s="47"/>
      <c r="U1104" s="47"/>
      <c r="V1104" s="43"/>
      <c r="W1104" s="87"/>
      <c r="X1104" s="46"/>
    </row>
    <row r="1105" spans="1:26" ht="12.75" x14ac:dyDescent="0.2">
      <c r="A1105" s="82" t="s">
        <v>50</v>
      </c>
      <c r="B1105" s="38">
        <v>0</v>
      </c>
      <c r="C1105" s="38">
        <v>149559.48000000001</v>
      </c>
      <c r="D1105" s="38">
        <v>308231.25</v>
      </c>
      <c r="E1105" s="38">
        <v>71295.929999999993</v>
      </c>
      <c r="F1105" s="38">
        <v>0</v>
      </c>
      <c r="G1105" s="39">
        <f>SUM(B1105:F1105)</f>
        <v>529086.65999999992</v>
      </c>
      <c r="H1105" s="38">
        <v>0</v>
      </c>
      <c r="I1105" s="291">
        <v>0</v>
      </c>
      <c r="J1105" s="291">
        <v>168053.64</v>
      </c>
      <c r="K1105" s="291">
        <v>165659.25</v>
      </c>
      <c r="L1105" s="291">
        <v>0</v>
      </c>
      <c r="M1105" s="291">
        <v>0</v>
      </c>
      <c r="N1105" s="291">
        <v>149574.98000000001</v>
      </c>
      <c r="O1105" s="291">
        <v>15228.61</v>
      </c>
      <c r="P1105" s="291">
        <v>0</v>
      </c>
      <c r="Q1105" s="292">
        <f>SUM(H1105:P1105)</f>
        <v>498516.47999999998</v>
      </c>
      <c r="R1105" s="292">
        <v>103192.67</v>
      </c>
      <c r="S1105" s="292">
        <v>440265.77</v>
      </c>
      <c r="T1105" s="39">
        <v>0</v>
      </c>
      <c r="U1105" s="39">
        <v>0</v>
      </c>
      <c r="V1105" s="39">
        <v>0</v>
      </c>
      <c r="W1105" s="83">
        <f>Q1105+G1105+R1105+S1105+T1105+U1105+V1105</f>
        <v>1571061.5799999998</v>
      </c>
      <c r="X1105" s="41"/>
      <c r="Z1105" s="220">
        <f>W1105-1571061.59</f>
        <v>-1.0000000242143869E-2</v>
      </c>
    </row>
    <row r="1106" spans="1:26" ht="12.75" x14ac:dyDescent="0.2">
      <c r="A1106" s="82" t="s">
        <v>42</v>
      </c>
      <c r="B1106" s="141">
        <f t="shared" ref="B1106:W1106" si="298">B1103+B1105-B1057</f>
        <v>59118.370000000083</v>
      </c>
      <c r="C1106" s="141">
        <f t="shared" si="298"/>
        <v>1407758.9499999995</v>
      </c>
      <c r="D1106" s="141">
        <f t="shared" si="298"/>
        <v>3248598.04</v>
      </c>
      <c r="E1106" s="141">
        <f t="shared" si="298"/>
        <v>1065915.3499999996</v>
      </c>
      <c r="F1106" s="141">
        <f t="shared" si="298"/>
        <v>-8.5856299847364426E-10</v>
      </c>
      <c r="G1106" s="39">
        <f t="shared" si="298"/>
        <v>5781390.7100000074</v>
      </c>
      <c r="H1106" s="141">
        <f t="shared" si="298"/>
        <v>619955.8100000018</v>
      </c>
      <c r="I1106" s="141">
        <f t="shared" si="298"/>
        <v>6.4210325945168734E-10</v>
      </c>
      <c r="J1106" s="141">
        <f t="shared" si="298"/>
        <v>1541383.7700000009</v>
      </c>
      <c r="K1106" s="141">
        <f t="shared" si="298"/>
        <v>1511072.2999999998</v>
      </c>
      <c r="L1106" s="141">
        <f t="shared" si="298"/>
        <v>120452.21000000081</v>
      </c>
      <c r="M1106" s="141">
        <f t="shared" si="298"/>
        <v>152286.64000000036</v>
      </c>
      <c r="N1106" s="141">
        <f t="shared" si="298"/>
        <v>935132.38000000012</v>
      </c>
      <c r="O1106" s="141">
        <f t="shared" si="298"/>
        <v>2399248.8199999998</v>
      </c>
      <c r="P1106" s="141">
        <f t="shared" si="298"/>
        <v>622040.69999999995</v>
      </c>
      <c r="Q1106" s="39">
        <f t="shared" si="298"/>
        <v>7901572.629999985</v>
      </c>
      <c r="R1106" s="39">
        <f t="shared" si="298"/>
        <v>1905837.8500000029</v>
      </c>
      <c r="S1106" s="39">
        <f t="shared" si="298"/>
        <v>3509949.0199999996</v>
      </c>
      <c r="T1106" s="39">
        <f t="shared" si="298"/>
        <v>3.092281986027956E-11</v>
      </c>
      <c r="U1106" s="39">
        <f t="shared" si="298"/>
        <v>1.0368239600211382E-10</v>
      </c>
      <c r="V1106" s="39">
        <f t="shared" si="298"/>
        <v>0</v>
      </c>
      <c r="W1106" s="140">
        <f t="shared" si="298"/>
        <v>19098750.209999997</v>
      </c>
      <c r="X1106" s="41">
        <f>W1105+X1103</f>
        <v>567016396.39840555</v>
      </c>
    </row>
    <row r="1107" spans="1:26" ht="12.75" x14ac:dyDescent="0.2">
      <c r="A1107" s="85"/>
      <c r="B1107" s="43"/>
      <c r="C1107" s="43"/>
      <c r="D1107" s="43"/>
      <c r="E1107" s="43"/>
      <c r="F1107" s="43"/>
      <c r="G1107" s="47"/>
      <c r="H1107" s="43"/>
      <c r="I1107" s="43"/>
      <c r="J1107" s="43"/>
      <c r="K1107" s="43"/>
      <c r="L1107" s="43"/>
      <c r="M1107" s="43"/>
      <c r="N1107" s="43"/>
      <c r="O1107" s="43"/>
      <c r="P1107" s="43"/>
      <c r="Q1107" s="47"/>
      <c r="R1107" s="47"/>
      <c r="S1107" s="47"/>
      <c r="T1107" s="47"/>
      <c r="U1107" s="47"/>
      <c r="V1107" s="43"/>
      <c r="W1107" s="87"/>
      <c r="X1107" s="46"/>
    </row>
    <row r="1108" spans="1:26" ht="12.75" x14ac:dyDescent="0.2">
      <c r="A1108" s="82" t="s">
        <v>51</v>
      </c>
      <c r="B1108" s="38">
        <v>0</v>
      </c>
      <c r="C1108" s="38">
        <v>149536.89000000001</v>
      </c>
      <c r="D1108" s="38">
        <v>273441.78000000003</v>
      </c>
      <c r="E1108" s="38">
        <v>383401.09</v>
      </c>
      <c r="F1108" s="38">
        <v>0</v>
      </c>
      <c r="G1108" s="39">
        <f>SUM(B1108:F1108)</f>
        <v>806379.76</v>
      </c>
      <c r="H1108" s="38">
        <v>0</v>
      </c>
      <c r="I1108" s="38">
        <v>0</v>
      </c>
      <c r="J1108" s="38">
        <v>123824.29</v>
      </c>
      <c r="K1108" s="38">
        <v>123145.7</v>
      </c>
      <c r="L1108" s="38">
        <v>0</v>
      </c>
      <c r="M1108" s="38">
        <v>46238.44</v>
      </c>
      <c r="N1108" s="38">
        <v>162481.53</v>
      </c>
      <c r="O1108" s="38">
        <v>161607.17000000001</v>
      </c>
      <c r="P1108" s="38">
        <v>214942.91</v>
      </c>
      <c r="Q1108" s="39">
        <f>SUM(H1108:P1108)</f>
        <v>832240.04</v>
      </c>
      <c r="R1108" s="39">
        <v>38068.5</v>
      </c>
      <c r="S1108" s="39">
        <v>109415.27</v>
      </c>
      <c r="T1108" s="39">
        <v>0</v>
      </c>
      <c r="U1108" s="39">
        <v>0</v>
      </c>
      <c r="V1108" s="39">
        <v>0</v>
      </c>
      <c r="W1108" s="83">
        <f>Q1108+G1108+R1108+S1108+T1108+U1108+V1108</f>
        <v>1786103.57</v>
      </c>
      <c r="X1108" s="41"/>
      <c r="Z1108" s="220">
        <f>W1108-1786103.57</f>
        <v>0</v>
      </c>
    </row>
    <row r="1109" spans="1:26" ht="12.75" x14ac:dyDescent="0.2">
      <c r="A1109" s="82" t="s">
        <v>42</v>
      </c>
      <c r="B1109" s="141">
        <f t="shared" ref="B1109:W1109" si="299">B1106+B1108-B1060</f>
        <v>30653.990000000082</v>
      </c>
      <c r="C1109" s="141">
        <f t="shared" si="299"/>
        <v>1465277.9099999995</v>
      </c>
      <c r="D1109" s="141">
        <f t="shared" si="299"/>
        <v>3314609.68</v>
      </c>
      <c r="E1109" s="141">
        <f t="shared" si="299"/>
        <v>1089259.0799999996</v>
      </c>
      <c r="F1109" s="141">
        <f t="shared" si="299"/>
        <v>-8.5856299847364426E-10</v>
      </c>
      <c r="G1109" s="39">
        <f t="shared" si="299"/>
        <v>5899800.6600000076</v>
      </c>
      <c r="H1109" s="141">
        <f t="shared" si="299"/>
        <v>277003.27000000182</v>
      </c>
      <c r="I1109" s="141">
        <f t="shared" si="299"/>
        <v>6.4210325945168734E-10</v>
      </c>
      <c r="J1109" s="141">
        <f t="shared" si="299"/>
        <v>1551751.6400000011</v>
      </c>
      <c r="K1109" s="141">
        <f t="shared" si="299"/>
        <v>1523900.6799999997</v>
      </c>
      <c r="L1109" s="141">
        <f t="shared" si="299"/>
        <v>8.0035533756017685E-10</v>
      </c>
      <c r="M1109" s="141">
        <f t="shared" si="299"/>
        <v>144354.77000000037</v>
      </c>
      <c r="N1109" s="141">
        <f t="shared" si="299"/>
        <v>1097613.9100000001</v>
      </c>
      <c r="O1109" s="141">
        <f t="shared" si="299"/>
        <v>2431568.6999999997</v>
      </c>
      <c r="P1109" s="141">
        <f t="shared" si="299"/>
        <v>631205.73</v>
      </c>
      <c r="Q1109" s="39">
        <f t="shared" si="299"/>
        <v>7657398.6999999844</v>
      </c>
      <c r="R1109" s="39">
        <f t="shared" si="299"/>
        <v>1590508.6400000029</v>
      </c>
      <c r="S1109" s="39">
        <f t="shared" si="299"/>
        <v>3195560.1999999997</v>
      </c>
      <c r="T1109" s="39">
        <f t="shared" si="299"/>
        <v>3.092281986027956E-11</v>
      </c>
      <c r="U1109" s="39">
        <f t="shared" si="299"/>
        <v>1.0368239600211382E-10</v>
      </c>
      <c r="V1109" s="39">
        <f t="shared" si="299"/>
        <v>0</v>
      </c>
      <c r="W1109" s="140">
        <f t="shared" si="299"/>
        <v>18343268.199999996</v>
      </c>
      <c r="X1109" s="41">
        <f>W1108+X1106</f>
        <v>568802499.9684056</v>
      </c>
    </row>
    <row r="1110" spans="1:26" ht="12.75" x14ac:dyDescent="0.2">
      <c r="A1110" s="85"/>
      <c r="B1110" s="44"/>
      <c r="C1110" s="44"/>
      <c r="D1110" s="44"/>
      <c r="E1110" s="44"/>
      <c r="F1110" s="44"/>
      <c r="G1110" s="45"/>
      <c r="H1110" s="44"/>
      <c r="I1110" s="44"/>
      <c r="J1110" s="44"/>
      <c r="K1110" s="44"/>
      <c r="L1110" s="44"/>
      <c r="M1110" s="44"/>
      <c r="N1110" s="44"/>
      <c r="O1110" s="44"/>
      <c r="P1110" s="44"/>
      <c r="Q1110" s="45"/>
      <c r="R1110" s="47"/>
      <c r="S1110" s="47"/>
      <c r="T1110" s="47"/>
      <c r="U1110" s="47"/>
      <c r="V1110" s="43"/>
      <c r="W1110" s="86"/>
      <c r="X1110" s="46"/>
    </row>
    <row r="1111" spans="1:26" ht="12.75" x14ac:dyDescent="0.2">
      <c r="A1111" s="82" t="s">
        <v>52</v>
      </c>
      <c r="B1111" s="38">
        <v>0</v>
      </c>
      <c r="C1111" s="38">
        <v>136817.71</v>
      </c>
      <c r="D1111" s="38">
        <v>193459.99</v>
      </c>
      <c r="E1111" s="38">
        <v>308371.76</v>
      </c>
      <c r="F1111" s="38">
        <v>0</v>
      </c>
      <c r="G1111" s="39">
        <f>SUM(B1111:F1111)</f>
        <v>638649.46</v>
      </c>
      <c r="H1111" s="38">
        <v>0</v>
      </c>
      <c r="I1111" s="38">
        <v>0</v>
      </c>
      <c r="J1111" s="38">
        <v>121585.21</v>
      </c>
      <c r="K1111" s="38">
        <v>116522.77</v>
      </c>
      <c r="L1111" s="38">
        <v>85.63</v>
      </c>
      <c r="M1111" s="38">
        <v>36333.17</v>
      </c>
      <c r="N1111" s="38">
        <v>156231.76</v>
      </c>
      <c r="O1111" s="38">
        <v>242174.62</v>
      </c>
      <c r="P1111" s="38">
        <v>215522.23</v>
      </c>
      <c r="Q1111" s="39">
        <f>SUM(H1111:P1111)</f>
        <v>888455.39</v>
      </c>
      <c r="R1111" s="39">
        <v>0</v>
      </c>
      <c r="S1111" s="39">
        <v>59347.64</v>
      </c>
      <c r="T1111" s="39">
        <v>0</v>
      </c>
      <c r="U1111" s="39">
        <v>0</v>
      </c>
      <c r="V1111" s="39">
        <v>0</v>
      </c>
      <c r="W1111" s="83">
        <f>Q1111+G1111+R1111+S1111+T1111+U1111+V1111</f>
        <v>1586452.49</v>
      </c>
      <c r="X1111" s="41"/>
      <c r="Z1111" s="220">
        <f>W1111-1586452.49</f>
        <v>0</v>
      </c>
    </row>
    <row r="1112" spans="1:26" ht="12.75" x14ac:dyDescent="0.2">
      <c r="A1112" s="82" t="s">
        <v>42</v>
      </c>
      <c r="B1112" s="141">
        <f t="shared" ref="B1112:W1112" si="300">B1109+B1111-B1063</f>
        <v>6295.0300000000825</v>
      </c>
      <c r="C1112" s="141">
        <f t="shared" si="300"/>
        <v>1509677.6199999994</v>
      </c>
      <c r="D1112" s="141">
        <f t="shared" si="300"/>
        <v>3268780.26</v>
      </c>
      <c r="E1112" s="141">
        <f t="shared" si="300"/>
        <v>1228850.1599999997</v>
      </c>
      <c r="F1112" s="141">
        <f t="shared" si="300"/>
        <v>-8.5856299847364426E-10</v>
      </c>
      <c r="G1112" s="39">
        <f t="shared" si="300"/>
        <v>6013603.0700000077</v>
      </c>
      <c r="H1112" s="141">
        <f t="shared" si="300"/>
        <v>26990.770000001823</v>
      </c>
      <c r="I1112" s="141">
        <f t="shared" si="300"/>
        <v>6.4210325945168734E-10</v>
      </c>
      <c r="J1112" s="141">
        <f t="shared" si="300"/>
        <v>1573726.2300000009</v>
      </c>
      <c r="K1112" s="141">
        <f t="shared" si="300"/>
        <v>1551888.7499999998</v>
      </c>
      <c r="L1112" s="141">
        <f t="shared" si="300"/>
        <v>85.630000000800351</v>
      </c>
      <c r="M1112" s="141">
        <f t="shared" si="300"/>
        <v>132624.02000000037</v>
      </c>
      <c r="N1112" s="141">
        <f t="shared" si="300"/>
        <v>1253845.6700000002</v>
      </c>
      <c r="O1112" s="141">
        <f t="shared" si="300"/>
        <v>2453033.13</v>
      </c>
      <c r="P1112" s="141">
        <f t="shared" si="300"/>
        <v>728527.49</v>
      </c>
      <c r="Q1112" s="39">
        <f t="shared" si="300"/>
        <v>7720721.6899999846</v>
      </c>
      <c r="R1112" s="39">
        <f t="shared" si="300"/>
        <v>1281169.980000003</v>
      </c>
      <c r="S1112" s="39">
        <f t="shared" si="300"/>
        <v>2642458.2199999997</v>
      </c>
      <c r="T1112" s="39">
        <f t="shared" si="300"/>
        <v>3.092281986027956E-11</v>
      </c>
      <c r="U1112" s="39">
        <f t="shared" si="300"/>
        <v>1.0368239600211382E-10</v>
      </c>
      <c r="V1112" s="39">
        <f t="shared" si="300"/>
        <v>0</v>
      </c>
      <c r="W1112" s="140">
        <f t="shared" si="300"/>
        <v>17657952.959999993</v>
      </c>
      <c r="X1112" s="41">
        <f>W1111+X1109</f>
        <v>570388952.45840561</v>
      </c>
    </row>
    <row r="1113" spans="1:26" ht="12.75" x14ac:dyDescent="0.2">
      <c r="A1113" s="85"/>
      <c r="B1113" s="43"/>
      <c r="C1113" s="43"/>
      <c r="D1113" s="43"/>
      <c r="E1113" s="43"/>
      <c r="F1113" s="43"/>
      <c r="G1113" s="47"/>
      <c r="H1113" s="43"/>
      <c r="I1113" s="43"/>
      <c r="J1113" s="43"/>
      <c r="K1113" s="43"/>
      <c r="L1113" s="43"/>
      <c r="M1113" s="43"/>
      <c r="N1113" s="43"/>
      <c r="O1113" s="43"/>
      <c r="P1113" s="43"/>
      <c r="Q1113" s="47"/>
      <c r="R1113" s="47"/>
      <c r="S1113" s="47"/>
      <c r="T1113" s="47"/>
      <c r="U1113" s="47"/>
      <c r="V1113" s="43"/>
      <c r="W1113" s="87"/>
      <c r="X1113" s="46"/>
    </row>
    <row r="1114" spans="1:26" ht="12.75" x14ac:dyDescent="0.2">
      <c r="A1114" s="82" t="s">
        <v>53</v>
      </c>
      <c r="B1114" s="38">
        <v>0</v>
      </c>
      <c r="C1114" s="38">
        <v>162272.25</v>
      </c>
      <c r="D1114" s="38">
        <v>306569.99</v>
      </c>
      <c r="E1114" s="38">
        <v>115340.57</v>
      </c>
      <c r="F1114" s="38">
        <v>0</v>
      </c>
      <c r="G1114" s="39">
        <f>SUM(B1114:F1114)</f>
        <v>584182.81000000006</v>
      </c>
      <c r="H1114" s="38">
        <v>0</v>
      </c>
      <c r="I1114" s="38">
        <v>0</v>
      </c>
      <c r="J1114" s="38">
        <v>161324.19</v>
      </c>
      <c r="K1114" s="38">
        <v>150040</v>
      </c>
      <c r="L1114" s="38">
        <v>0</v>
      </c>
      <c r="M1114" s="38">
        <v>6974.18</v>
      </c>
      <c r="N1114" s="38">
        <v>111147.11</v>
      </c>
      <c r="O1114" s="38">
        <v>270813.27</v>
      </c>
      <c r="P1114" s="38">
        <v>65328.86</v>
      </c>
      <c r="Q1114" s="39">
        <f>SUM(H1114:P1114)</f>
        <v>765627.61</v>
      </c>
      <c r="R1114" s="39">
        <v>0</v>
      </c>
      <c r="S1114" s="39">
        <v>18004.28</v>
      </c>
      <c r="T1114" s="39">
        <v>0</v>
      </c>
      <c r="U1114" s="39">
        <v>0</v>
      </c>
      <c r="V1114" s="39">
        <v>0</v>
      </c>
      <c r="W1114" s="83">
        <f>Q1114+G1114+R1114+S1114+T1114+U1114+V1114</f>
        <v>1367814.7</v>
      </c>
      <c r="X1114" s="41"/>
      <c r="Z1114" s="220">
        <f>W1114-1367814.71</f>
        <v>-1.0000000009313226E-2</v>
      </c>
    </row>
    <row r="1115" spans="1:26" ht="13.5" thickBot="1" x14ac:dyDescent="0.25">
      <c r="A1115" s="88" t="s">
        <v>42</v>
      </c>
      <c r="B1115" s="143">
        <f t="shared" ref="B1115:W1115" si="301">B1112+B1114-B1066</f>
        <v>8.276401786133647E-11</v>
      </c>
      <c r="C1115" s="143">
        <f t="shared" si="301"/>
        <v>1602031.4599999995</v>
      </c>
      <c r="D1115" s="143">
        <f t="shared" si="301"/>
        <v>3399489.59</v>
      </c>
      <c r="E1115" s="143">
        <f t="shared" si="301"/>
        <v>1230811.3899999997</v>
      </c>
      <c r="F1115" s="143">
        <f t="shared" si="301"/>
        <v>-8.5856299847364426E-10</v>
      </c>
      <c r="G1115" s="50">
        <f t="shared" si="301"/>
        <v>6232332.4400000079</v>
      </c>
      <c r="H1115" s="143">
        <f t="shared" si="301"/>
        <v>1.8226273823529482E-9</v>
      </c>
      <c r="I1115" s="143">
        <f t="shared" si="301"/>
        <v>6.4210325945168734E-10</v>
      </c>
      <c r="J1115" s="143">
        <f t="shared" si="301"/>
        <v>1626756.5700000008</v>
      </c>
      <c r="K1115" s="143">
        <f t="shared" si="301"/>
        <v>1596825.2099999997</v>
      </c>
      <c r="L1115" s="198">
        <f t="shared" si="301"/>
        <v>85.630000000800351</v>
      </c>
      <c r="M1115" s="143">
        <f t="shared" si="301"/>
        <v>127767.40000000036</v>
      </c>
      <c r="N1115" s="143">
        <f t="shared" si="301"/>
        <v>1364992.7800000003</v>
      </c>
      <c r="O1115" s="143">
        <f t="shared" si="301"/>
        <v>2473601.98</v>
      </c>
      <c r="P1115" s="143">
        <f t="shared" si="301"/>
        <v>793856.35</v>
      </c>
      <c r="Q1115" s="50">
        <f t="shared" si="301"/>
        <v>7983885.9199999841</v>
      </c>
      <c r="R1115" s="50">
        <f t="shared" si="301"/>
        <v>1147334.990000003</v>
      </c>
      <c r="S1115" s="50">
        <f t="shared" si="301"/>
        <v>2294524.3599999994</v>
      </c>
      <c r="T1115" s="50">
        <f t="shared" si="301"/>
        <v>3.092281986027956E-11</v>
      </c>
      <c r="U1115" s="50">
        <f t="shared" si="301"/>
        <v>1.0368239600211382E-10</v>
      </c>
      <c r="V1115" s="50">
        <f t="shared" si="301"/>
        <v>0</v>
      </c>
      <c r="W1115" s="144">
        <f t="shared" si="301"/>
        <v>17658077.709999993</v>
      </c>
      <c r="X1115" s="51">
        <f>W1114+X1112</f>
        <v>571756767.15840566</v>
      </c>
    </row>
    <row r="1116" spans="1:26" ht="12.75" x14ac:dyDescent="0.2">
      <c r="B1116" s="52" t="s">
        <v>221</v>
      </c>
      <c r="C1116" s="90"/>
      <c r="D1116" s="90"/>
      <c r="E1116" s="90"/>
      <c r="F1116" s="90"/>
      <c r="G1116" s="90"/>
      <c r="I1116" s="90"/>
      <c r="J1116" s="90"/>
      <c r="K1116" s="90"/>
      <c r="L1116" s="90"/>
      <c r="M1116" s="90"/>
      <c r="N1116" s="90"/>
      <c r="O1116" s="171"/>
      <c r="P1116" s="90"/>
      <c r="Q1116" s="282" t="s">
        <v>238</v>
      </c>
      <c r="S1116" s="52"/>
      <c r="T1116" s="52"/>
      <c r="U1116" s="52"/>
      <c r="V1116" s="52"/>
      <c r="W1116" s="90"/>
      <c r="X1116" s="91"/>
    </row>
    <row r="1117" spans="1:26" ht="12.75" x14ac:dyDescent="0.2">
      <c r="B1117" s="281"/>
      <c r="C1117" s="137" t="s">
        <v>229</v>
      </c>
      <c r="L1117" s="1" t="s">
        <v>224</v>
      </c>
      <c r="M1117" s="1" t="s">
        <v>225</v>
      </c>
      <c r="P1117" t="s">
        <v>122</v>
      </c>
      <c r="X1117" s="9"/>
    </row>
    <row r="1118" spans="1:26" ht="12" x14ac:dyDescent="0.2">
      <c r="B1118" s="274" t="s">
        <v>60</v>
      </c>
      <c r="C1118" s="274"/>
      <c r="D1118" s="274"/>
      <c r="E1118" s="274"/>
      <c r="F1118" s="274"/>
      <c r="G1118" s="274"/>
      <c r="H1118" s="274"/>
      <c r="I1118" s="274"/>
      <c r="J1118" s="274"/>
      <c r="L1118" s="302">
        <f>I1115+J1115+K1115+O1115+S1115</f>
        <v>7991708.120000001</v>
      </c>
      <c r="M1118" s="275">
        <f>L1115+M1115+N1115+P1115</f>
        <v>2286702.1600000015</v>
      </c>
    </row>
    <row r="1119" spans="1:26" x14ac:dyDescent="0.2">
      <c r="B1119" s="286"/>
      <c r="C1119" s="137" t="s">
        <v>231</v>
      </c>
      <c r="H1119" s="220">
        <f>H1051+H1054+H1057+H1060+H1063+H1066+H1081+H1084+H1087+H1090+H1093+H1096</f>
        <v>1741317.19</v>
      </c>
      <c r="I1119" s="220">
        <f t="shared" ref="I1119:O1119" si="302">I1051+I1054+I1057+I1060+I1063+I1066+I1081+I1084+I1087+I1090+I1093+I1096</f>
        <v>740035.21</v>
      </c>
      <c r="J1119" s="220">
        <f t="shared" si="302"/>
        <v>1705747.3299999996</v>
      </c>
      <c r="K1119" s="220">
        <f t="shared" si="302"/>
        <v>1661326.17</v>
      </c>
      <c r="L1119" s="220">
        <f t="shared" si="302"/>
        <v>120452.21</v>
      </c>
      <c r="M1119" s="220">
        <f t="shared" si="302"/>
        <v>336474.93999999994</v>
      </c>
      <c r="N1119" s="220">
        <f t="shared" si="302"/>
        <v>492255.89000000007</v>
      </c>
      <c r="O1119" s="220">
        <f t="shared" si="302"/>
        <v>2355317.33</v>
      </c>
      <c r="P1119" s="220">
        <f>P1051+P1054+P1057+P1060+P1063+P1066+P1081+P1084+P1087+P1090+P1093+P1096</f>
        <v>1097757.4799999997</v>
      </c>
    </row>
    <row r="1120" spans="1:26" ht="27" x14ac:dyDescent="0.35">
      <c r="A1120" s="294" t="s">
        <v>245</v>
      </c>
      <c r="B1120" s="54"/>
      <c r="C1120" s="122"/>
      <c r="D1120" s="58"/>
      <c r="E1120" s="127"/>
      <c r="F1120" s="128"/>
      <c r="G1120" s="127"/>
      <c r="H1120" s="129"/>
      <c r="I1120" s="130"/>
      <c r="J1120" s="130"/>
      <c r="K1120" s="130"/>
      <c r="L1120" s="130"/>
      <c r="M1120" s="130"/>
      <c r="N1120" s="130"/>
      <c r="O1120" s="130"/>
      <c r="P1120" s="130"/>
      <c r="Q1120" s="130"/>
      <c r="R1120" s="128"/>
      <c r="S1120" s="128"/>
      <c r="T1120" s="128"/>
      <c r="U1120" s="128"/>
      <c r="V1120" s="128"/>
      <c r="W1120" s="130"/>
      <c r="X1120" s="131"/>
    </row>
    <row r="1121" spans="1:26" ht="27" x14ac:dyDescent="0.35">
      <c r="A1121" s="295" t="s">
        <v>60</v>
      </c>
      <c r="C1121" s="54"/>
      <c r="D1121" s="53"/>
      <c r="E1121" s="53"/>
      <c r="F1121" s="132"/>
      <c r="H1121" s="55"/>
      <c r="I1121" s="55"/>
      <c r="J1121" s="54"/>
      <c r="K1121" s="56"/>
      <c r="L1121" s="57"/>
      <c r="M1121" s="54"/>
      <c r="N1121" s="54" t="s">
        <v>60</v>
      </c>
      <c r="O1121" s="54"/>
      <c r="P1121" s="54"/>
      <c r="Q1121" s="57"/>
      <c r="R1121" s="58"/>
      <c r="S1121" s="58"/>
      <c r="T1121" s="58"/>
      <c r="U1121" s="58"/>
      <c r="V1121" s="58"/>
      <c r="W1121" s="54"/>
      <c r="X1121" s="54"/>
    </row>
    <row r="1122" spans="1:26" ht="27" x14ac:dyDescent="0.35">
      <c r="A1122" s="296" t="s">
        <v>6</v>
      </c>
      <c r="C1122" s="122"/>
      <c r="D1122" s="122"/>
      <c r="E1122" s="122"/>
      <c r="F1122" s="122"/>
      <c r="H1122" s="122"/>
      <c r="I1122" s="122"/>
      <c r="J1122" s="122"/>
      <c r="K1122" s="122"/>
      <c r="L1122" s="122"/>
      <c r="M1122" s="122"/>
      <c r="N1122" s="122"/>
      <c r="O1122" s="122"/>
      <c r="P1122" s="122"/>
      <c r="Q1122" s="122"/>
      <c r="R1122" s="122"/>
      <c r="S1122" s="122"/>
      <c r="T1122" s="122"/>
      <c r="U1122" s="122"/>
      <c r="V1122" s="122"/>
      <c r="W1122" s="142"/>
      <c r="X1122" s="122"/>
    </row>
    <row r="1123" spans="1:26" ht="12" thickBot="1" x14ac:dyDescent="0.25">
      <c r="B1123" s="2"/>
      <c r="C1123" s="2"/>
      <c r="D1123" s="2"/>
      <c r="E1123" s="2"/>
      <c r="F1123" s="59"/>
      <c r="G1123" s="2"/>
      <c r="H1123" s="2"/>
      <c r="I1123" s="2"/>
      <c r="J1123" s="2"/>
      <c r="K1123" s="2"/>
      <c r="L1123" s="2"/>
      <c r="M1123" s="2"/>
      <c r="N1123" s="2"/>
      <c r="O1123" s="2"/>
      <c r="P1123" s="2"/>
      <c r="Q1123" s="2" t="s">
        <v>60</v>
      </c>
      <c r="W1123" s="2"/>
      <c r="X1123" s="57"/>
    </row>
    <row r="1124" spans="1:26" x14ac:dyDescent="0.2">
      <c r="A1124" s="14"/>
      <c r="B1124" s="15"/>
      <c r="C1124" s="15"/>
      <c r="D1124" s="15"/>
      <c r="E1124" s="15"/>
      <c r="F1124" s="15"/>
      <c r="G1124" s="15"/>
      <c r="H1124" s="15"/>
      <c r="I1124" s="15"/>
      <c r="J1124" s="15"/>
      <c r="K1124" s="15"/>
      <c r="L1124" s="15"/>
      <c r="M1124" s="15"/>
      <c r="N1124" s="15"/>
      <c r="O1124" s="15"/>
      <c r="P1124" s="15"/>
      <c r="Q1124" s="15"/>
      <c r="R1124" s="16"/>
      <c r="S1124" s="16"/>
      <c r="T1124" s="16"/>
      <c r="U1124" s="16"/>
      <c r="V1124" s="16"/>
      <c r="W1124" s="15"/>
      <c r="X1124" s="60" t="s">
        <v>60</v>
      </c>
    </row>
    <row r="1125" spans="1:26" ht="13.5" thickBot="1" x14ac:dyDescent="0.25">
      <c r="A1125" s="18"/>
      <c r="B1125" s="61"/>
      <c r="C1125" s="62"/>
      <c r="D1125" s="63" t="s">
        <v>73</v>
      </c>
      <c r="E1125" s="64"/>
      <c r="F1125" s="64"/>
      <c r="G1125" s="64"/>
      <c r="H1125" s="61"/>
      <c r="I1125" s="64"/>
      <c r="J1125" s="64"/>
      <c r="K1125" s="65" t="s">
        <v>74</v>
      </c>
      <c r="L1125" s="64"/>
      <c r="M1125" s="64"/>
      <c r="N1125" s="64"/>
      <c r="O1125" s="64"/>
      <c r="P1125" s="64"/>
      <c r="Q1125" s="138"/>
      <c r="R1125" s="64"/>
      <c r="S1125" s="64"/>
      <c r="T1125" s="64"/>
      <c r="U1125" s="64"/>
      <c r="V1125" s="64"/>
      <c r="W1125" s="66"/>
      <c r="X1125" s="36" t="s">
        <v>60</v>
      </c>
    </row>
    <row r="1126" spans="1:26" ht="12" x14ac:dyDescent="0.2">
      <c r="A1126" s="67"/>
      <c r="B1126" s="68" t="s">
        <v>11</v>
      </c>
      <c r="C1126" s="68" t="s">
        <v>12</v>
      </c>
      <c r="D1126" s="68" t="s">
        <v>13</v>
      </c>
      <c r="E1126" s="68" t="s">
        <v>14</v>
      </c>
      <c r="F1126" s="68" t="s">
        <v>15</v>
      </c>
      <c r="G1126" s="69" t="s">
        <v>16</v>
      </c>
      <c r="H1126" s="68" t="s">
        <v>17</v>
      </c>
      <c r="I1126" s="70"/>
      <c r="J1126" s="70"/>
      <c r="K1126" s="70"/>
      <c r="L1126" s="70"/>
      <c r="M1126" s="68" t="s">
        <v>18</v>
      </c>
      <c r="N1126" s="68" t="s">
        <v>19</v>
      </c>
      <c r="O1126" s="68" t="s">
        <v>20</v>
      </c>
      <c r="P1126" s="68" t="s">
        <v>21</v>
      </c>
      <c r="Q1126" s="69" t="s">
        <v>16</v>
      </c>
      <c r="R1126" s="203" t="s">
        <v>69</v>
      </c>
      <c r="S1126" s="202" t="s">
        <v>126</v>
      </c>
      <c r="T1126" s="202" t="s">
        <v>138</v>
      </c>
      <c r="U1126" s="202" t="s">
        <v>134</v>
      </c>
      <c r="V1126" s="202" t="s">
        <v>136</v>
      </c>
      <c r="W1126" s="72" t="s">
        <v>7</v>
      </c>
      <c r="X1126" s="73" t="s">
        <v>70</v>
      </c>
    </row>
    <row r="1127" spans="1:26" ht="12.75" thickBot="1" x14ac:dyDescent="0.25">
      <c r="A1127" s="75"/>
      <c r="B1127" s="76" t="s">
        <v>23</v>
      </c>
      <c r="C1127" s="76" t="s">
        <v>24</v>
      </c>
      <c r="D1127" s="76" t="s">
        <v>25</v>
      </c>
      <c r="E1127" s="76" t="s">
        <v>26</v>
      </c>
      <c r="F1127" s="76" t="s">
        <v>27</v>
      </c>
      <c r="G1127" s="77" t="s">
        <v>28</v>
      </c>
      <c r="H1127" s="76" t="s">
        <v>29</v>
      </c>
      <c r="I1127" s="76" t="s">
        <v>30</v>
      </c>
      <c r="J1127" s="76" t="s">
        <v>31</v>
      </c>
      <c r="K1127" s="76" t="s">
        <v>32</v>
      </c>
      <c r="L1127" s="76" t="s">
        <v>33</v>
      </c>
      <c r="M1127" s="76" t="s">
        <v>34</v>
      </c>
      <c r="N1127" s="76" t="s">
        <v>35</v>
      </c>
      <c r="O1127" s="76" t="s">
        <v>36</v>
      </c>
      <c r="P1127" s="76" t="s">
        <v>37</v>
      </c>
      <c r="Q1127" s="77" t="s">
        <v>28</v>
      </c>
      <c r="R1127" s="204" t="s">
        <v>82</v>
      </c>
      <c r="S1127" s="78" t="s">
        <v>130</v>
      </c>
      <c r="T1127" s="78" t="s">
        <v>139</v>
      </c>
      <c r="U1127" s="78" t="s">
        <v>135</v>
      </c>
      <c r="V1127" s="78" t="s">
        <v>189</v>
      </c>
      <c r="W1127" s="79" t="s">
        <v>10</v>
      </c>
      <c r="X1127" s="80" t="s">
        <v>71</v>
      </c>
    </row>
    <row r="1128" spans="1:26" x14ac:dyDescent="0.2">
      <c r="A1128" s="18"/>
      <c r="B1128" s="33"/>
      <c r="C1128" s="33"/>
      <c r="D1128" s="33"/>
      <c r="E1128" s="33"/>
      <c r="F1128" s="33"/>
      <c r="G1128" s="34"/>
      <c r="H1128" s="33"/>
      <c r="I1128" s="33"/>
      <c r="J1128" s="33"/>
      <c r="K1128" s="33"/>
      <c r="L1128" s="33"/>
      <c r="M1128" s="33"/>
      <c r="N1128" s="33"/>
      <c r="O1128" s="33"/>
      <c r="P1128" s="33"/>
      <c r="Q1128" s="34"/>
      <c r="R1128" s="205"/>
      <c r="S1128" s="214"/>
      <c r="T1128" s="214"/>
      <c r="U1128" s="214"/>
      <c r="V1128" s="35"/>
      <c r="W1128" s="81"/>
      <c r="X1128" s="36"/>
    </row>
    <row r="1129" spans="1:26" ht="12.75" x14ac:dyDescent="0.2">
      <c r="A1129" s="82" t="s">
        <v>41</v>
      </c>
      <c r="B1129" s="38">
        <v>0</v>
      </c>
      <c r="C1129" s="38">
        <v>194315.89</v>
      </c>
      <c r="D1129" s="38">
        <v>314379.05</v>
      </c>
      <c r="E1129" s="38">
        <v>0</v>
      </c>
      <c r="F1129" s="38">
        <v>0</v>
      </c>
      <c r="G1129" s="39">
        <f>SUM(B1129:F1129)</f>
        <v>508694.94</v>
      </c>
      <c r="H1129" s="38">
        <v>0</v>
      </c>
      <c r="I1129" s="38">
        <v>0</v>
      </c>
      <c r="J1129" s="38">
        <v>125732.09</v>
      </c>
      <c r="K1129" s="38">
        <v>118306.1</v>
      </c>
      <c r="L1129" s="38">
        <v>0</v>
      </c>
      <c r="M1129" s="38">
        <v>30737.34</v>
      </c>
      <c r="N1129" s="38">
        <v>156646.17000000001</v>
      </c>
      <c r="O1129" s="38">
        <v>194662.1</v>
      </c>
      <c r="P1129" s="38">
        <v>159366.94</v>
      </c>
      <c r="Q1129" s="39">
        <f>SUM(H1129:P1129)</f>
        <v>785450.74</v>
      </c>
      <c r="R1129" s="39">
        <v>0</v>
      </c>
      <c r="S1129" s="39">
        <v>0</v>
      </c>
      <c r="T1129" s="39">
        <v>0</v>
      </c>
      <c r="U1129" s="39">
        <v>0</v>
      </c>
      <c r="V1129" s="39">
        <v>0</v>
      </c>
      <c r="W1129" s="83">
        <f>Q1129+G1129+R1129+S1129+T1129+U1129+V1129</f>
        <v>1294145.68</v>
      </c>
      <c r="X1129" s="41"/>
      <c r="Z1129" s="220">
        <f>W1129-1294145.67</f>
        <v>1.0000000009313226E-2</v>
      </c>
    </row>
    <row r="1130" spans="1:26" ht="12.75" x14ac:dyDescent="0.2">
      <c r="A1130" s="82" t="s">
        <v>42</v>
      </c>
      <c r="B1130" s="141">
        <f t="shared" ref="B1130:W1130" si="303">B1115+B1129-B1081</f>
        <v>8.276401786133647E-11</v>
      </c>
      <c r="C1130" s="141">
        <f t="shared" si="303"/>
        <v>1765497.1099999996</v>
      </c>
      <c r="D1130" s="141">
        <f t="shared" si="303"/>
        <v>3419058.5599999996</v>
      </c>
      <c r="E1130" s="141">
        <f t="shared" si="303"/>
        <v>1146932.7599999998</v>
      </c>
      <c r="F1130" s="141">
        <f t="shared" si="303"/>
        <v>-8.5856299847364426E-10</v>
      </c>
      <c r="G1130" s="172">
        <f t="shared" si="303"/>
        <v>6331488.4300000081</v>
      </c>
      <c r="H1130" s="141">
        <f t="shared" si="303"/>
        <v>1.8226273823529482E-9</v>
      </c>
      <c r="I1130" s="141">
        <f t="shared" si="303"/>
        <v>6.4210325945168734E-10</v>
      </c>
      <c r="J1130" s="141">
        <f t="shared" si="303"/>
        <v>1656232.5100000009</v>
      </c>
      <c r="K1130" s="141">
        <f t="shared" si="303"/>
        <v>1612114.5599999998</v>
      </c>
      <c r="L1130" s="141">
        <f t="shared" si="303"/>
        <v>85.630000000800351</v>
      </c>
      <c r="M1130" s="141">
        <f t="shared" si="303"/>
        <v>158504.74000000037</v>
      </c>
      <c r="N1130" s="141">
        <f t="shared" si="303"/>
        <v>1520339.3000000003</v>
      </c>
      <c r="O1130" s="141">
        <f t="shared" si="303"/>
        <v>2418595.54</v>
      </c>
      <c r="P1130" s="141">
        <f t="shared" si="303"/>
        <v>953223.29</v>
      </c>
      <c r="Q1130" s="39">
        <f t="shared" si="303"/>
        <v>8319095.5699999835</v>
      </c>
      <c r="R1130" s="172">
        <f t="shared" si="303"/>
        <v>1005424.450000003</v>
      </c>
      <c r="S1130" s="172">
        <f t="shared" si="303"/>
        <v>2048594.7999999993</v>
      </c>
      <c r="T1130" s="172">
        <f t="shared" si="303"/>
        <v>3.092281986027956E-11</v>
      </c>
      <c r="U1130" s="172">
        <f t="shared" si="303"/>
        <v>1.0368239600211382E-10</v>
      </c>
      <c r="V1130" s="172">
        <f t="shared" si="303"/>
        <v>0</v>
      </c>
      <c r="W1130" s="83">
        <f t="shared" si="303"/>
        <v>17704603.249999993</v>
      </c>
      <c r="X1130" s="41">
        <f>X1115+W1129</f>
        <v>573050912.83840561</v>
      </c>
    </row>
    <row r="1131" spans="1:26" ht="12.75" x14ac:dyDescent="0.2">
      <c r="A1131" s="85"/>
      <c r="B1131" s="38"/>
      <c r="C1131" s="38"/>
      <c r="D1131" s="38"/>
      <c r="E1131" s="38"/>
      <c r="F1131" s="38"/>
      <c r="G1131" s="39"/>
      <c r="H1131" s="38"/>
      <c r="I1131" s="38"/>
      <c r="J1131" s="38"/>
      <c r="K1131" s="38"/>
      <c r="L1131" s="38"/>
      <c r="M1131" s="38"/>
      <c r="N1131" s="38"/>
      <c r="O1131" s="38"/>
      <c r="P1131" s="38"/>
      <c r="Q1131" s="39" t="s">
        <v>60</v>
      </c>
      <c r="R1131" s="47"/>
      <c r="S1131" s="47"/>
      <c r="T1131" s="47"/>
      <c r="U1131" s="47"/>
      <c r="V1131" s="43"/>
      <c r="W1131" s="83"/>
      <c r="X1131" s="41"/>
    </row>
    <row r="1132" spans="1:26" ht="12.75" x14ac:dyDescent="0.2">
      <c r="A1132" s="82" t="s">
        <v>43</v>
      </c>
      <c r="B1132" s="38">
        <v>0</v>
      </c>
      <c r="C1132" s="38">
        <v>171835.19</v>
      </c>
      <c r="D1132" s="38">
        <v>239097.45</v>
      </c>
      <c r="E1132" s="38">
        <v>49250.7</v>
      </c>
      <c r="F1132" s="38">
        <v>0</v>
      </c>
      <c r="G1132" s="39">
        <f>SUM(B1132:F1132)</f>
        <v>460183.34</v>
      </c>
      <c r="H1132" s="38">
        <v>0</v>
      </c>
      <c r="I1132" s="84">
        <v>0</v>
      </c>
      <c r="J1132" s="84">
        <v>139499.53</v>
      </c>
      <c r="K1132" s="84">
        <v>130606.1</v>
      </c>
      <c r="L1132" s="84">
        <v>0</v>
      </c>
      <c r="M1132" s="84">
        <v>26551.360000000001</v>
      </c>
      <c r="N1132" s="84">
        <v>53051.6</v>
      </c>
      <c r="O1132" s="84">
        <v>219885.84</v>
      </c>
      <c r="P1132" s="84">
        <v>177445.33</v>
      </c>
      <c r="Q1132" s="255">
        <f>SUM(H1132:P1132)</f>
        <v>747039.75999999989</v>
      </c>
      <c r="R1132" s="255">
        <v>0</v>
      </c>
      <c r="S1132" s="255">
        <v>23594.03</v>
      </c>
      <c r="T1132" s="39">
        <v>0</v>
      </c>
      <c r="U1132" s="39">
        <v>0</v>
      </c>
      <c r="V1132" s="39">
        <v>0</v>
      </c>
      <c r="W1132" s="83">
        <f>Q1132+G1132+R1132+S1132+T1132+U1132+V1132</f>
        <v>1230817.1299999999</v>
      </c>
      <c r="X1132" s="41"/>
      <c r="Z1132" s="220">
        <f>W1132-1230817.14</f>
        <v>-1.0000000009313226E-2</v>
      </c>
    </row>
    <row r="1133" spans="1:26" ht="12.75" x14ac:dyDescent="0.2">
      <c r="A1133" s="82" t="s">
        <v>42</v>
      </c>
      <c r="B1133" s="141">
        <f t="shared" ref="B1133:W1133" si="304">B1130+B1132-B1084</f>
        <v>8.276401786133647E-11</v>
      </c>
      <c r="C1133" s="141">
        <f t="shared" si="304"/>
        <v>1892039.8899999997</v>
      </c>
      <c r="D1133" s="141">
        <f t="shared" si="304"/>
        <v>3373498.9299999997</v>
      </c>
      <c r="E1133" s="141">
        <f t="shared" si="304"/>
        <v>1088164.7299999997</v>
      </c>
      <c r="F1133" s="141">
        <f t="shared" si="304"/>
        <v>-8.5856299847364426E-10</v>
      </c>
      <c r="G1133" s="39">
        <f t="shared" si="304"/>
        <v>6353703.5500000082</v>
      </c>
      <c r="H1133" s="141">
        <f t="shared" si="304"/>
        <v>1.8226273823529482E-9</v>
      </c>
      <c r="I1133" s="141">
        <f t="shared" si="304"/>
        <v>6.4210325945168734E-10</v>
      </c>
      <c r="J1133" s="141">
        <f t="shared" si="304"/>
        <v>1690779.360000001</v>
      </c>
      <c r="K1133" s="141">
        <f t="shared" si="304"/>
        <v>1635837.2</v>
      </c>
      <c r="L1133" s="141">
        <f t="shared" si="304"/>
        <v>85.630000000800351</v>
      </c>
      <c r="M1133" s="141">
        <f t="shared" si="304"/>
        <v>185056.10000000038</v>
      </c>
      <c r="N1133" s="141">
        <f t="shared" si="304"/>
        <v>1489383.2800000003</v>
      </c>
      <c r="O1133" s="141">
        <f t="shared" si="304"/>
        <v>2391993.62</v>
      </c>
      <c r="P1133" s="141">
        <f t="shared" si="304"/>
        <v>1130668.6200000001</v>
      </c>
      <c r="Q1133" s="39">
        <f t="shared" si="304"/>
        <v>8523803.8099999838</v>
      </c>
      <c r="R1133" s="39">
        <f t="shared" si="304"/>
        <v>897019.74000000302</v>
      </c>
      <c r="S1133" s="39">
        <f t="shared" si="304"/>
        <v>1743337.9399999995</v>
      </c>
      <c r="T1133" s="39">
        <f t="shared" si="304"/>
        <v>3.092281986027956E-11</v>
      </c>
      <c r="U1133" s="39">
        <f t="shared" si="304"/>
        <v>1.0368239600211382E-10</v>
      </c>
      <c r="V1133" s="39">
        <f t="shared" si="304"/>
        <v>0</v>
      </c>
      <c r="W1133" s="140">
        <f t="shared" si="304"/>
        <v>17517865.039999992</v>
      </c>
      <c r="X1133" s="41">
        <f>W1132+X1130</f>
        <v>574281729.9684056</v>
      </c>
    </row>
    <row r="1134" spans="1:26" ht="12.75" x14ac:dyDescent="0.2">
      <c r="A1134" s="85"/>
      <c r="B1134" s="44"/>
      <c r="C1134" s="44"/>
      <c r="D1134" s="44"/>
      <c r="E1134" s="44"/>
      <c r="F1134" s="44"/>
      <c r="G1134" s="45"/>
      <c r="H1134" s="44"/>
      <c r="I1134" s="44"/>
      <c r="J1134" s="44"/>
      <c r="K1134" s="44"/>
      <c r="L1134" s="44"/>
      <c r="M1134" s="44"/>
      <c r="N1134" s="44"/>
      <c r="O1134" s="44"/>
      <c r="P1134" s="44"/>
      <c r="Q1134" s="45"/>
      <c r="R1134" s="47"/>
      <c r="S1134" s="47"/>
      <c r="T1134" s="47"/>
      <c r="U1134" s="47"/>
      <c r="V1134" s="43"/>
      <c r="W1134" s="86"/>
      <c r="X1134" s="46"/>
    </row>
    <row r="1135" spans="1:26" ht="12.75" x14ac:dyDescent="0.2">
      <c r="A1135" s="82" t="s">
        <v>44</v>
      </c>
      <c r="B1135" s="38">
        <v>0</v>
      </c>
      <c r="C1135" s="38">
        <v>164973.21</v>
      </c>
      <c r="D1135" s="38">
        <v>267063.15000000002</v>
      </c>
      <c r="E1135" s="38">
        <v>55894.879999999997</v>
      </c>
      <c r="F1135" s="38">
        <v>0</v>
      </c>
      <c r="G1135" s="39">
        <f>SUM(B1135:F1135)</f>
        <v>487931.24</v>
      </c>
      <c r="H1135" s="38">
        <v>0</v>
      </c>
      <c r="I1135" s="84">
        <v>0</v>
      </c>
      <c r="J1135" s="84">
        <v>82561.740000000005</v>
      </c>
      <c r="K1135" s="84">
        <v>79403.820000000007</v>
      </c>
      <c r="L1135" s="84">
        <v>0</v>
      </c>
      <c r="M1135" s="84">
        <v>3927.01</v>
      </c>
      <c r="N1135" s="84">
        <v>99107.59</v>
      </c>
      <c r="O1135" s="84">
        <v>100026.47</v>
      </c>
      <c r="P1135" s="84">
        <v>94924.36</v>
      </c>
      <c r="Q1135" s="255">
        <f>SUM(H1135:P1135)</f>
        <v>459950.99</v>
      </c>
      <c r="R1135" s="255">
        <v>0</v>
      </c>
      <c r="S1135" s="255">
        <v>126016.34</v>
      </c>
      <c r="T1135" s="39">
        <v>0</v>
      </c>
      <c r="U1135" s="39">
        <v>0</v>
      </c>
      <c r="V1135" s="39">
        <v>0</v>
      </c>
      <c r="W1135" s="83">
        <f>Q1135+G1135+R1135+S1135+T1135+U1135+V1135</f>
        <v>1073898.57</v>
      </c>
      <c r="X1135" s="41"/>
      <c r="Z1135" s="220">
        <f>W1135-1073898.57</f>
        <v>0</v>
      </c>
    </row>
    <row r="1136" spans="1:26" ht="12.75" x14ac:dyDescent="0.2">
      <c r="A1136" s="82" t="s">
        <v>42</v>
      </c>
      <c r="B1136" s="141">
        <f t="shared" ref="B1136:W1136" si="305">B1133+B1135-B1087</f>
        <v>8.276401786133647E-11</v>
      </c>
      <c r="C1136" s="141">
        <f t="shared" si="305"/>
        <v>1960796.9699999997</v>
      </c>
      <c r="D1136" s="141">
        <f t="shared" si="305"/>
        <v>3345928.2899999996</v>
      </c>
      <c r="E1136" s="141">
        <f t="shared" si="305"/>
        <v>1057209.0899999996</v>
      </c>
      <c r="F1136" s="141">
        <f t="shared" si="305"/>
        <v>-8.5856299847364426E-10</v>
      </c>
      <c r="G1136" s="39">
        <f t="shared" si="305"/>
        <v>6363934.350000008</v>
      </c>
      <c r="H1136" s="141">
        <f t="shared" si="305"/>
        <v>1.8226273823529482E-9</v>
      </c>
      <c r="I1136" s="141">
        <f t="shared" si="305"/>
        <v>6.4210325945168734E-10</v>
      </c>
      <c r="J1136" s="141">
        <f t="shared" si="305"/>
        <v>1679503.8900000011</v>
      </c>
      <c r="K1136" s="141">
        <f t="shared" si="305"/>
        <v>1632262.84</v>
      </c>
      <c r="L1136" s="141">
        <f t="shared" si="305"/>
        <v>85.630000000800351</v>
      </c>
      <c r="M1136" s="141">
        <f t="shared" si="305"/>
        <v>177918.25000000041</v>
      </c>
      <c r="N1136" s="141">
        <f t="shared" si="305"/>
        <v>1463634.6600000004</v>
      </c>
      <c r="O1136" s="141">
        <f t="shared" si="305"/>
        <v>2229822.7300000004</v>
      </c>
      <c r="P1136" s="141">
        <f t="shared" si="305"/>
        <v>1148947.3000000003</v>
      </c>
      <c r="Q1136" s="39">
        <f t="shared" si="305"/>
        <v>8332175.299999984</v>
      </c>
      <c r="R1136" s="39">
        <f t="shared" si="305"/>
        <v>671244.92000000295</v>
      </c>
      <c r="S1136" s="39">
        <f t="shared" si="305"/>
        <v>1757563.7799999996</v>
      </c>
      <c r="T1136" s="39">
        <f t="shared" si="305"/>
        <v>3.092281986027956E-11</v>
      </c>
      <c r="U1136" s="39">
        <f t="shared" si="305"/>
        <v>1.0368239600211382E-10</v>
      </c>
      <c r="V1136" s="226">
        <f t="shared" si="305"/>
        <v>0</v>
      </c>
      <c r="W1136" s="83">
        <f t="shared" si="305"/>
        <v>17124918.34999999</v>
      </c>
      <c r="X1136" s="41">
        <f>W1135+X1133</f>
        <v>575355628.53840566</v>
      </c>
    </row>
    <row r="1137" spans="1:26" ht="12.75" x14ac:dyDescent="0.2">
      <c r="A1137" s="85"/>
      <c r="B1137" s="43"/>
      <c r="C1137" s="43"/>
      <c r="D1137" s="43"/>
      <c r="E1137" s="43"/>
      <c r="F1137" s="43"/>
      <c r="G1137" s="47"/>
      <c r="H1137" s="43"/>
      <c r="I1137" s="43"/>
      <c r="J1137" s="43"/>
      <c r="K1137" s="43"/>
      <c r="L1137" s="43"/>
      <c r="M1137" s="43"/>
      <c r="N1137" s="43"/>
      <c r="O1137" s="43"/>
      <c r="P1137" s="43"/>
      <c r="Q1137" s="47"/>
      <c r="R1137" s="47"/>
      <c r="S1137" s="47"/>
      <c r="T1137" s="47"/>
      <c r="U1137" s="47"/>
      <c r="V1137" s="43"/>
      <c r="W1137" s="87"/>
      <c r="X1137" s="46"/>
    </row>
    <row r="1138" spans="1:26" ht="12.75" x14ac:dyDescent="0.2">
      <c r="A1138" s="82" t="s">
        <v>45</v>
      </c>
      <c r="B1138" s="38">
        <v>0</v>
      </c>
      <c r="C1138" s="38">
        <v>139119.48000000001</v>
      </c>
      <c r="D1138" s="38">
        <v>294308.17</v>
      </c>
      <c r="E1138" s="38">
        <v>5071.7</v>
      </c>
      <c r="F1138" s="38">
        <v>0</v>
      </c>
      <c r="G1138" s="39">
        <f>SUM(B1138:F1138)</f>
        <v>438499.35000000003</v>
      </c>
      <c r="H1138" s="38">
        <v>0</v>
      </c>
      <c r="I1138" s="84">
        <v>0</v>
      </c>
      <c r="J1138" s="84">
        <v>94731.92</v>
      </c>
      <c r="K1138" s="84">
        <v>85852.22</v>
      </c>
      <c r="L1138" s="84">
        <v>0</v>
      </c>
      <c r="M1138" s="84">
        <v>21183.69</v>
      </c>
      <c r="N1138" s="84">
        <v>49668.07</v>
      </c>
      <c r="O1138" s="84">
        <v>96123.199999999997</v>
      </c>
      <c r="P1138" s="84">
        <v>210579.59</v>
      </c>
      <c r="Q1138" s="255">
        <f>SUM(H1138:P1138)</f>
        <v>558138.69000000006</v>
      </c>
      <c r="R1138" s="255">
        <v>0</v>
      </c>
      <c r="S1138" s="255">
        <v>0</v>
      </c>
      <c r="T1138" s="39">
        <v>0</v>
      </c>
      <c r="U1138" s="39">
        <v>0</v>
      </c>
      <c r="V1138" s="39">
        <v>0</v>
      </c>
      <c r="W1138" s="83">
        <f>Q1138+G1138+R1138+S1138+T1138+U1138+V1138</f>
        <v>996638.04</v>
      </c>
      <c r="X1138" s="41" t="s">
        <v>60</v>
      </c>
      <c r="Z1138" s="220">
        <f>W1138-996638.03</f>
        <v>1.0000000009313226E-2</v>
      </c>
    </row>
    <row r="1139" spans="1:26" ht="12.75" x14ac:dyDescent="0.2">
      <c r="A1139" s="82" t="s">
        <v>42</v>
      </c>
      <c r="B1139" s="141">
        <f t="shared" ref="B1139:W1139" si="306">B1136+B1138-B1090</f>
        <v>8.276401786133647E-11</v>
      </c>
      <c r="C1139" s="141">
        <f t="shared" si="306"/>
        <v>1934822.6399999997</v>
      </c>
      <c r="D1139" s="141">
        <f t="shared" si="306"/>
        <v>3336680.3199999994</v>
      </c>
      <c r="E1139" s="141">
        <f t="shared" si="306"/>
        <v>1062280.7899999996</v>
      </c>
      <c r="F1139" s="141">
        <f t="shared" si="306"/>
        <v>-8.5856299847364426E-10</v>
      </c>
      <c r="G1139" s="39">
        <f t="shared" si="306"/>
        <v>6333783.7500000075</v>
      </c>
      <c r="H1139" s="141">
        <f t="shared" si="306"/>
        <v>1.8226273823529482E-9</v>
      </c>
      <c r="I1139" s="141">
        <f t="shared" si="306"/>
        <v>6.4210325945168734E-10</v>
      </c>
      <c r="J1139" s="141">
        <f t="shared" si="306"/>
        <v>1618450.9300000011</v>
      </c>
      <c r="K1139" s="141">
        <f t="shared" si="306"/>
        <v>1573425.53</v>
      </c>
      <c r="L1139" s="141">
        <f t="shared" si="306"/>
        <v>85.630000000800351</v>
      </c>
      <c r="M1139" s="141">
        <f t="shared" si="306"/>
        <v>171945.19000000041</v>
      </c>
      <c r="N1139" s="141">
        <f t="shared" si="306"/>
        <v>1395023.8300000005</v>
      </c>
      <c r="O1139" s="141">
        <f t="shared" si="306"/>
        <v>2132604.8300000005</v>
      </c>
      <c r="P1139" s="141">
        <f t="shared" si="306"/>
        <v>1138110.2200000004</v>
      </c>
      <c r="Q1139" s="39">
        <f t="shared" si="306"/>
        <v>8029646.1599999834</v>
      </c>
      <c r="R1139" s="39">
        <f t="shared" si="306"/>
        <v>490255.21000000299</v>
      </c>
      <c r="S1139" s="39">
        <f t="shared" si="306"/>
        <v>1591177.3199999996</v>
      </c>
      <c r="T1139" s="39">
        <f t="shared" si="306"/>
        <v>3.092281986027956E-11</v>
      </c>
      <c r="U1139" s="39">
        <f t="shared" si="306"/>
        <v>1.0368239600211382E-10</v>
      </c>
      <c r="V1139" s="39">
        <f t="shared" si="306"/>
        <v>0</v>
      </c>
      <c r="W1139" s="140">
        <f t="shared" si="306"/>
        <v>16444862.43999999</v>
      </c>
      <c r="X1139" s="41">
        <f>W1138+X1136</f>
        <v>576352266.57840562</v>
      </c>
    </row>
    <row r="1140" spans="1:26" ht="12.75" x14ac:dyDescent="0.2">
      <c r="A1140" s="85"/>
      <c r="B1140" s="44"/>
      <c r="C1140" s="44"/>
      <c r="D1140" s="44"/>
      <c r="E1140" s="44"/>
      <c r="F1140" s="43"/>
      <c r="G1140" s="45"/>
      <c r="H1140" s="44"/>
      <c r="I1140" s="44"/>
      <c r="J1140" s="44"/>
      <c r="K1140" s="44"/>
      <c r="L1140" s="44"/>
      <c r="M1140" s="44"/>
      <c r="N1140" s="44"/>
      <c r="O1140" s="44"/>
      <c r="P1140" s="44"/>
      <c r="Q1140" s="45"/>
      <c r="R1140" s="47"/>
      <c r="S1140" s="47"/>
      <c r="T1140" s="47"/>
      <c r="U1140" s="47"/>
      <c r="V1140" s="43"/>
      <c r="W1140" s="86"/>
      <c r="X1140" s="46"/>
    </row>
    <row r="1141" spans="1:26" ht="12.75" x14ac:dyDescent="0.2">
      <c r="A1141" s="82" t="s">
        <v>46</v>
      </c>
      <c r="B1141" s="38">
        <v>0</v>
      </c>
      <c r="C1141" s="38">
        <v>115667.76</v>
      </c>
      <c r="D1141" s="38">
        <v>241321.88</v>
      </c>
      <c r="E1141" s="38">
        <v>0</v>
      </c>
      <c r="F1141" s="38">
        <v>0</v>
      </c>
      <c r="G1141" s="39">
        <f>SUM(B1141:F1141)</f>
        <v>356989.64</v>
      </c>
      <c r="H1141" s="38">
        <v>0</v>
      </c>
      <c r="I1141" s="84">
        <v>0</v>
      </c>
      <c r="J1141" s="84">
        <v>46760.08</v>
      </c>
      <c r="K1141" s="84">
        <v>41824.78</v>
      </c>
      <c r="L1141" s="84">
        <v>0</v>
      </c>
      <c r="M1141" s="84">
        <v>12683.99</v>
      </c>
      <c r="N1141" s="84">
        <v>18380.61</v>
      </c>
      <c r="O1141" s="84">
        <v>0</v>
      </c>
      <c r="P1141" s="84">
        <v>98492.52</v>
      </c>
      <c r="Q1141" s="255">
        <f>SUM(H1141:P1141)</f>
        <v>218141.98</v>
      </c>
      <c r="R1141" s="255">
        <v>0</v>
      </c>
      <c r="S1141" s="255">
        <v>99003.92</v>
      </c>
      <c r="T1141" s="39">
        <v>0</v>
      </c>
      <c r="U1141" s="39">
        <v>0</v>
      </c>
      <c r="V1141" s="39">
        <v>0</v>
      </c>
      <c r="W1141" s="83">
        <f>Q1141+G1141+R1141+S1141+T1141+U1141+V1141</f>
        <v>674135.54</v>
      </c>
      <c r="X1141" s="41"/>
      <c r="Z1141" s="220">
        <f>W1141-674135.53</f>
        <v>1.0000000009313226E-2</v>
      </c>
    </row>
    <row r="1142" spans="1:26" ht="12.75" x14ac:dyDescent="0.2">
      <c r="A1142" s="82" t="s">
        <v>42</v>
      </c>
      <c r="B1142" s="141">
        <f t="shared" ref="B1142:W1142" si="307">B1139+B1141-B1093</f>
        <v>8.276401786133647E-11</v>
      </c>
      <c r="C1142" s="141">
        <f t="shared" si="307"/>
        <v>1887395.3299999996</v>
      </c>
      <c r="D1142" s="141">
        <f t="shared" si="307"/>
        <v>3280028.7499999991</v>
      </c>
      <c r="E1142" s="141">
        <f t="shared" si="307"/>
        <v>1056341.1299999997</v>
      </c>
      <c r="F1142" s="141">
        <f t="shared" si="307"/>
        <v>-8.5856299847364426E-10</v>
      </c>
      <c r="G1142" s="39">
        <f t="shared" si="307"/>
        <v>6223765.2100000074</v>
      </c>
      <c r="H1142" s="141">
        <f t="shared" si="307"/>
        <v>1.8226273823529482E-9</v>
      </c>
      <c r="I1142" s="141">
        <f t="shared" si="307"/>
        <v>6.4210325945168734E-10</v>
      </c>
      <c r="J1142" s="141">
        <f t="shared" si="307"/>
        <v>1579484.3400000012</v>
      </c>
      <c r="K1142" s="141">
        <f t="shared" si="307"/>
        <v>1520285.06</v>
      </c>
      <c r="L1142" s="141">
        <f t="shared" si="307"/>
        <v>85.630000000800351</v>
      </c>
      <c r="M1142" s="141">
        <f t="shared" si="307"/>
        <v>184629.1800000004</v>
      </c>
      <c r="N1142" s="141">
        <f t="shared" si="307"/>
        <v>1373773.2800000007</v>
      </c>
      <c r="O1142" s="141">
        <f t="shared" si="307"/>
        <v>2031023.9200000006</v>
      </c>
      <c r="P1142" s="141">
        <f t="shared" si="307"/>
        <v>1236602.7400000005</v>
      </c>
      <c r="Q1142" s="39">
        <f t="shared" si="307"/>
        <v>7925884.1499999836</v>
      </c>
      <c r="R1142" s="39">
        <f t="shared" si="307"/>
        <v>410466.00000000297</v>
      </c>
      <c r="S1142" s="39">
        <f t="shared" si="307"/>
        <v>1606641.2999999996</v>
      </c>
      <c r="T1142" s="39">
        <f t="shared" si="307"/>
        <v>3.092281986027956E-11</v>
      </c>
      <c r="U1142" s="39">
        <f t="shared" si="307"/>
        <v>1.0368239600211382E-10</v>
      </c>
      <c r="V1142" s="39">
        <f t="shared" si="307"/>
        <v>0</v>
      </c>
      <c r="W1142" s="140">
        <f t="shared" si="307"/>
        <v>16166756.659999989</v>
      </c>
      <c r="X1142" s="41">
        <f>W1141+X1139</f>
        <v>577026402.11840558</v>
      </c>
    </row>
    <row r="1143" spans="1:26" ht="12.75" x14ac:dyDescent="0.2">
      <c r="A1143" s="85"/>
      <c r="B1143" s="44"/>
      <c r="C1143" s="44"/>
      <c r="D1143" s="44"/>
      <c r="E1143" s="44"/>
      <c r="F1143" s="44"/>
      <c r="G1143" s="45"/>
      <c r="H1143" s="44"/>
      <c r="I1143" s="44"/>
      <c r="J1143" s="44"/>
      <c r="K1143" s="44"/>
      <c r="L1143" s="44"/>
      <c r="M1143" s="44"/>
      <c r="N1143" s="44"/>
      <c r="O1143" s="44"/>
      <c r="P1143" s="44"/>
      <c r="Q1143" s="45"/>
      <c r="R1143" s="47"/>
      <c r="S1143" s="47"/>
      <c r="T1143" s="47"/>
      <c r="U1143" s="47"/>
      <c r="V1143" s="43"/>
      <c r="W1143" s="86"/>
      <c r="X1143" s="46"/>
    </row>
    <row r="1144" spans="1:26" ht="12.75" x14ac:dyDescent="0.2">
      <c r="A1144" s="82" t="s">
        <v>47</v>
      </c>
      <c r="B1144" s="38">
        <v>0</v>
      </c>
      <c r="C1144" s="38">
        <v>67301.69</v>
      </c>
      <c r="D1144" s="38">
        <v>66623.600000000006</v>
      </c>
      <c r="E1144" s="38">
        <v>0</v>
      </c>
      <c r="F1144" s="38">
        <v>0</v>
      </c>
      <c r="G1144" s="39">
        <f>SUM(B1144:F1144)</f>
        <v>133925.29</v>
      </c>
      <c r="H1144" s="38">
        <v>0</v>
      </c>
      <c r="I1144" s="84">
        <v>0</v>
      </c>
      <c r="J1144" s="84">
        <v>0</v>
      </c>
      <c r="K1144" s="84">
        <v>0</v>
      </c>
      <c r="L1144" s="84">
        <v>0</v>
      </c>
      <c r="M1144" s="84">
        <v>0</v>
      </c>
      <c r="N1144" s="84">
        <v>0</v>
      </c>
      <c r="O1144" s="84">
        <v>0</v>
      </c>
      <c r="P1144" s="84">
        <v>132238.54</v>
      </c>
      <c r="Q1144" s="255">
        <f>SUM(H1144:P1144)</f>
        <v>132238.54</v>
      </c>
      <c r="R1144" s="255">
        <v>0</v>
      </c>
      <c r="S1144" s="255">
        <v>456896.96</v>
      </c>
      <c r="T1144" s="39">
        <v>0</v>
      </c>
      <c r="U1144" s="39">
        <v>0</v>
      </c>
      <c r="V1144" s="39">
        <v>0</v>
      </c>
      <c r="W1144" s="83">
        <f>Q1144+G1144+R1144+S1144+T1144+U1144+V1144</f>
        <v>723060.79</v>
      </c>
      <c r="X1144" s="41"/>
      <c r="Z1144" s="220">
        <f>W1144-723060.78</f>
        <v>1.0000000009313226E-2</v>
      </c>
    </row>
    <row r="1145" spans="1:26" ht="12.75" x14ac:dyDescent="0.2">
      <c r="A1145" s="82" t="s">
        <v>42</v>
      </c>
      <c r="B1145" s="141">
        <f t="shared" ref="B1145:W1145" si="308">B1142+B1144-B1096</f>
        <v>8.276401786133647E-11</v>
      </c>
      <c r="C1145" s="141">
        <f t="shared" si="308"/>
        <v>1784973.8799999994</v>
      </c>
      <c r="D1145" s="141">
        <f t="shared" si="308"/>
        <v>3110169.0699999994</v>
      </c>
      <c r="E1145" s="141">
        <f t="shared" si="308"/>
        <v>988626.62999999966</v>
      </c>
      <c r="F1145" s="141">
        <f t="shared" si="308"/>
        <v>-8.5856299847364426E-10</v>
      </c>
      <c r="G1145" s="39">
        <f t="shared" si="308"/>
        <v>5883769.5800000075</v>
      </c>
      <c r="H1145" s="141">
        <f t="shared" si="308"/>
        <v>1.8226273823529482E-9</v>
      </c>
      <c r="I1145" s="141">
        <f t="shared" si="308"/>
        <v>6.4210325945168734E-10</v>
      </c>
      <c r="J1145" s="141">
        <f t="shared" si="308"/>
        <v>1407318.0900000012</v>
      </c>
      <c r="K1145" s="141">
        <f t="shared" si="308"/>
        <v>1352020.52</v>
      </c>
      <c r="L1145" s="141">
        <f t="shared" si="308"/>
        <v>85.630000000800351</v>
      </c>
      <c r="M1145" s="141">
        <f t="shared" si="308"/>
        <v>184629.1800000004</v>
      </c>
      <c r="N1145" s="141">
        <f t="shared" si="308"/>
        <v>1250100.0700000008</v>
      </c>
      <c r="O1145" s="141">
        <f t="shared" si="308"/>
        <v>1805530.1000000006</v>
      </c>
      <c r="P1145" s="141">
        <f t="shared" si="308"/>
        <v>1368841.2800000005</v>
      </c>
      <c r="Q1145" s="39">
        <f t="shared" si="308"/>
        <v>7368524.8699999833</v>
      </c>
      <c r="R1145" s="39">
        <f t="shared" si="308"/>
        <v>366232.71000000299</v>
      </c>
      <c r="S1145" s="39">
        <f t="shared" si="308"/>
        <v>1850245.6499999994</v>
      </c>
      <c r="T1145" s="39">
        <f t="shared" si="308"/>
        <v>3.092281986027956E-11</v>
      </c>
      <c r="U1145" s="39">
        <f t="shared" si="308"/>
        <v>1.0368239600211382E-10</v>
      </c>
      <c r="V1145" s="39">
        <f t="shared" si="308"/>
        <v>0</v>
      </c>
      <c r="W1145" s="140">
        <f t="shared" si="308"/>
        <v>15468772.809999987</v>
      </c>
      <c r="X1145" s="41">
        <f>W1144+X1142</f>
        <v>577749462.90840554</v>
      </c>
    </row>
    <row r="1146" spans="1:26" ht="12.75" x14ac:dyDescent="0.2">
      <c r="A1146" s="85"/>
      <c r="B1146" s="43"/>
      <c r="C1146" s="43"/>
      <c r="D1146" s="43"/>
      <c r="E1146" s="43"/>
      <c r="F1146" s="43"/>
      <c r="G1146" s="47"/>
      <c r="H1146" s="43"/>
      <c r="I1146" s="43"/>
      <c r="J1146" s="43"/>
      <c r="K1146" s="43"/>
      <c r="L1146" s="43"/>
      <c r="M1146" s="43"/>
      <c r="N1146" s="43"/>
      <c r="O1146" s="43"/>
      <c r="P1146" s="43"/>
      <c r="Q1146" s="47"/>
      <c r="R1146" s="47"/>
      <c r="S1146" s="47"/>
      <c r="T1146" s="47"/>
      <c r="U1146" s="47"/>
      <c r="V1146" s="43"/>
      <c r="W1146" s="87"/>
      <c r="X1146" s="46"/>
    </row>
    <row r="1147" spans="1:26" ht="12.75" x14ac:dyDescent="0.2">
      <c r="A1147" s="82" t="s">
        <v>48</v>
      </c>
      <c r="B1147" s="38">
        <v>0</v>
      </c>
      <c r="C1147" s="38">
        <v>97068.56</v>
      </c>
      <c r="D1147" s="38">
        <v>0</v>
      </c>
      <c r="E1147" s="38">
        <v>0</v>
      </c>
      <c r="F1147" s="38">
        <v>0</v>
      </c>
      <c r="G1147" s="39">
        <f>SUM(B1147:F1147)</f>
        <v>97068.56</v>
      </c>
      <c r="H1147" s="38">
        <v>0</v>
      </c>
      <c r="I1147" s="84">
        <v>0</v>
      </c>
      <c r="J1147" s="84">
        <v>0</v>
      </c>
      <c r="K1147" s="84">
        <v>0</v>
      </c>
      <c r="L1147" s="84">
        <v>0</v>
      </c>
      <c r="M1147" s="84">
        <v>0</v>
      </c>
      <c r="N1147" s="84">
        <v>0</v>
      </c>
      <c r="O1147" s="84">
        <v>0</v>
      </c>
      <c r="P1147" s="84">
        <v>214764.54</v>
      </c>
      <c r="Q1147" s="255">
        <f>SUM(H1147:P1147)</f>
        <v>214764.54</v>
      </c>
      <c r="R1147" s="255">
        <v>0</v>
      </c>
      <c r="S1147" s="255">
        <v>498426.98</v>
      </c>
      <c r="T1147" s="39">
        <v>0</v>
      </c>
      <c r="U1147" s="39">
        <v>0</v>
      </c>
      <c r="V1147" s="39">
        <v>0</v>
      </c>
      <c r="W1147" s="83">
        <f>Q1147+G1147+R1147+S1147+T1147+U1147+V1147</f>
        <v>810260.08</v>
      </c>
      <c r="X1147" s="41"/>
      <c r="Z1147" s="220">
        <f>W1147-810260.08</f>
        <v>0</v>
      </c>
    </row>
    <row r="1148" spans="1:26" ht="12.75" x14ac:dyDescent="0.2">
      <c r="A1148" s="82" t="s">
        <v>42</v>
      </c>
      <c r="B1148" s="141">
        <f t="shared" ref="B1148:W1148" si="309">B1145+B1147-B1099</f>
        <v>8.276401786133647E-11</v>
      </c>
      <c r="C1148" s="141">
        <f t="shared" si="309"/>
        <v>1711857.7499999995</v>
      </c>
      <c r="D1148" s="141">
        <f t="shared" si="309"/>
        <v>2820406.2799999993</v>
      </c>
      <c r="E1148" s="141">
        <f t="shared" si="309"/>
        <v>988626.62999999966</v>
      </c>
      <c r="F1148" s="141">
        <f t="shared" si="309"/>
        <v>-8.5856299847364426E-10</v>
      </c>
      <c r="G1148" s="39">
        <f t="shared" si="309"/>
        <v>5520890.6600000076</v>
      </c>
      <c r="H1148" s="141">
        <f t="shared" si="309"/>
        <v>1.8226273823529482E-9</v>
      </c>
      <c r="I1148" s="141">
        <f t="shared" si="309"/>
        <v>6.4210325945168734E-10</v>
      </c>
      <c r="J1148" s="141">
        <f t="shared" si="309"/>
        <v>1231484.4400000013</v>
      </c>
      <c r="K1148" s="141">
        <f t="shared" si="309"/>
        <v>1178907.0900000001</v>
      </c>
      <c r="L1148" s="141">
        <f t="shared" si="309"/>
        <v>85.630000000800351</v>
      </c>
      <c r="M1148" s="141">
        <f t="shared" si="309"/>
        <v>184629.1800000004</v>
      </c>
      <c r="N1148" s="141">
        <f t="shared" si="309"/>
        <v>1110519.1300000008</v>
      </c>
      <c r="O1148" s="141">
        <f t="shared" si="309"/>
        <v>1504110.4100000006</v>
      </c>
      <c r="P1148" s="141">
        <f t="shared" si="309"/>
        <v>1583605.8200000005</v>
      </c>
      <c r="Q1148" s="39">
        <f t="shared" si="309"/>
        <v>6793341.6999999834</v>
      </c>
      <c r="R1148" s="39">
        <f t="shared" si="309"/>
        <v>248031.42000000301</v>
      </c>
      <c r="S1148" s="39">
        <f t="shared" si="309"/>
        <v>2056309.4099999995</v>
      </c>
      <c r="T1148" s="39">
        <f t="shared" si="309"/>
        <v>3.092281986027956E-11</v>
      </c>
      <c r="U1148" s="39">
        <f t="shared" si="309"/>
        <v>1.0368239600211382E-10</v>
      </c>
      <c r="V1148" s="39">
        <f t="shared" si="309"/>
        <v>0</v>
      </c>
      <c r="W1148" s="298">
        <f t="shared" si="309"/>
        <v>14618573.189999988</v>
      </c>
      <c r="X1148" s="41">
        <f>W1147+X1145</f>
        <v>578559722.98840559</v>
      </c>
    </row>
    <row r="1149" spans="1:26" ht="12.75" x14ac:dyDescent="0.2">
      <c r="A1149" s="85"/>
      <c r="B1149" s="44"/>
      <c r="C1149" s="44"/>
      <c r="D1149" s="44"/>
      <c r="E1149" s="44"/>
      <c r="F1149" s="44"/>
      <c r="G1149" s="45"/>
      <c r="H1149" s="44"/>
      <c r="I1149" s="44"/>
      <c r="J1149" s="44"/>
      <c r="K1149" s="44"/>
      <c r="L1149" s="44"/>
      <c r="M1149" s="44"/>
      <c r="N1149" s="44"/>
      <c r="O1149" s="44"/>
      <c r="P1149" s="44"/>
      <c r="Q1149" s="45"/>
      <c r="R1149" s="47"/>
      <c r="S1149" s="47"/>
      <c r="T1149" s="47"/>
      <c r="U1149" s="47"/>
      <c r="V1149" s="43"/>
      <c r="W1149" s="86"/>
      <c r="X1149" s="46"/>
    </row>
    <row r="1150" spans="1:26" ht="12.75" x14ac:dyDescent="0.2">
      <c r="A1150" s="82" t="s">
        <v>49</v>
      </c>
      <c r="B1150" s="38">
        <v>0</v>
      </c>
      <c r="C1150" s="38">
        <v>96996.87</v>
      </c>
      <c r="D1150" s="38">
        <v>0</v>
      </c>
      <c r="E1150" s="38">
        <v>0</v>
      </c>
      <c r="F1150" s="38">
        <v>0</v>
      </c>
      <c r="G1150" s="39">
        <f>SUM(B1150:F1150)</f>
        <v>96996.87</v>
      </c>
      <c r="H1150" s="38">
        <v>0</v>
      </c>
      <c r="I1150" s="84">
        <v>0</v>
      </c>
      <c r="J1150" s="84">
        <v>76671.039999999994</v>
      </c>
      <c r="K1150" s="84">
        <v>71117.440000000002</v>
      </c>
      <c r="L1150" s="84">
        <v>0</v>
      </c>
      <c r="M1150" s="84">
        <v>0</v>
      </c>
      <c r="N1150" s="84">
        <v>24867.56</v>
      </c>
      <c r="O1150" s="84">
        <v>0</v>
      </c>
      <c r="P1150" s="84">
        <v>215350.96</v>
      </c>
      <c r="Q1150" s="255">
        <f>SUM(H1150:P1150)</f>
        <v>388007</v>
      </c>
      <c r="R1150" s="255">
        <v>0</v>
      </c>
      <c r="S1150" s="255">
        <v>201603.84</v>
      </c>
      <c r="T1150" s="39">
        <v>0</v>
      </c>
      <c r="U1150" s="39">
        <v>0</v>
      </c>
      <c r="V1150" s="39">
        <v>0</v>
      </c>
      <c r="W1150" s="83">
        <f>Q1150+G1150+R1150+S1150+T1150+U1150+V1150</f>
        <v>686607.71</v>
      </c>
      <c r="X1150" s="41"/>
      <c r="Z1150" s="220">
        <f>W1150-686607.71</f>
        <v>0</v>
      </c>
    </row>
    <row r="1151" spans="1:26" ht="12.75" x14ac:dyDescent="0.2">
      <c r="A1151" s="82" t="s">
        <v>42</v>
      </c>
      <c r="B1151" s="141">
        <f t="shared" ref="B1151:W1151" si="310">B1148+B1150-B1102</f>
        <v>8.276401786133647E-11</v>
      </c>
      <c r="C1151" s="141">
        <f t="shared" si="310"/>
        <v>1645464.9799999995</v>
      </c>
      <c r="D1151" s="141">
        <f t="shared" si="310"/>
        <v>2504496.3099999996</v>
      </c>
      <c r="E1151" s="141">
        <f t="shared" si="310"/>
        <v>988626.62999999966</v>
      </c>
      <c r="F1151" s="141">
        <f t="shared" si="310"/>
        <v>-8.5856299847364426E-10</v>
      </c>
      <c r="G1151" s="39">
        <f t="shared" si="310"/>
        <v>5138587.9200000074</v>
      </c>
      <c r="H1151" s="141">
        <f t="shared" si="310"/>
        <v>1.8226273823529482E-9</v>
      </c>
      <c r="I1151" s="141">
        <f t="shared" si="310"/>
        <v>6.4210325945168734E-10</v>
      </c>
      <c r="J1151" s="141">
        <f t="shared" si="310"/>
        <v>1140743.7300000014</v>
      </c>
      <c r="K1151" s="141">
        <f t="shared" si="310"/>
        <v>1082478.18</v>
      </c>
      <c r="L1151" s="141">
        <f t="shared" si="310"/>
        <v>85.630000000800351</v>
      </c>
      <c r="M1151" s="141">
        <f t="shared" si="310"/>
        <v>184629.1800000004</v>
      </c>
      <c r="N1151" s="141">
        <f t="shared" si="310"/>
        <v>981156.98000000091</v>
      </c>
      <c r="O1151" s="141">
        <f t="shared" si="310"/>
        <v>1300521.2800000007</v>
      </c>
      <c r="P1151" s="141">
        <f t="shared" si="310"/>
        <v>1798956.7800000005</v>
      </c>
      <c r="Q1151" s="39">
        <f t="shared" si="310"/>
        <v>6488571.759999983</v>
      </c>
      <c r="R1151" s="39">
        <f t="shared" si="310"/>
        <v>141261.17000000301</v>
      </c>
      <c r="S1151" s="39">
        <f t="shared" si="310"/>
        <v>2032575.0299999996</v>
      </c>
      <c r="T1151" s="39">
        <f t="shared" si="310"/>
        <v>3.092281986027956E-11</v>
      </c>
      <c r="U1151" s="39">
        <f t="shared" si="310"/>
        <v>1.0368239600211382E-10</v>
      </c>
      <c r="V1151" s="39">
        <f t="shared" si="310"/>
        <v>0</v>
      </c>
      <c r="W1151" s="140">
        <f t="shared" si="310"/>
        <v>13800995.879999988</v>
      </c>
      <c r="X1151" s="41">
        <f>W1150+X1148</f>
        <v>579246330.69840562</v>
      </c>
    </row>
    <row r="1152" spans="1:26" ht="12.75" x14ac:dyDescent="0.2">
      <c r="A1152" s="85"/>
      <c r="B1152" s="43"/>
      <c r="C1152" s="43"/>
      <c r="D1152" s="43"/>
      <c r="E1152" s="43"/>
      <c r="F1152" s="43"/>
      <c r="G1152" s="47"/>
      <c r="H1152" s="43"/>
      <c r="I1152" s="43"/>
      <c r="J1152" s="43"/>
      <c r="K1152" s="43"/>
      <c r="L1152" s="43"/>
      <c r="M1152" s="43"/>
      <c r="N1152" s="43"/>
      <c r="O1152" s="43"/>
      <c r="P1152" s="43"/>
      <c r="Q1152" s="47"/>
      <c r="R1152" s="47"/>
      <c r="S1152" s="47"/>
      <c r="T1152" s="47"/>
      <c r="U1152" s="47"/>
      <c r="V1152" s="43"/>
      <c r="W1152" s="87"/>
      <c r="X1152" s="46"/>
    </row>
    <row r="1153" spans="1:26" ht="12.75" x14ac:dyDescent="0.2">
      <c r="A1153" s="82" t="s">
        <v>50</v>
      </c>
      <c r="B1153" s="38">
        <v>0</v>
      </c>
      <c r="C1153" s="38">
        <v>0</v>
      </c>
      <c r="D1153" s="38">
        <v>0</v>
      </c>
      <c r="E1153" s="38">
        <v>0</v>
      </c>
      <c r="F1153" s="38">
        <v>0</v>
      </c>
      <c r="G1153" s="39">
        <f>SUM(B1153:F1153)</f>
        <v>0</v>
      </c>
      <c r="H1153" s="38">
        <v>0</v>
      </c>
      <c r="I1153" s="84">
        <v>0</v>
      </c>
      <c r="J1153" s="84">
        <v>94888.86</v>
      </c>
      <c r="K1153" s="84">
        <v>82572.929999999993</v>
      </c>
      <c r="L1153" s="84">
        <v>0</v>
      </c>
      <c r="M1153" s="84">
        <v>0</v>
      </c>
      <c r="N1153" s="84">
        <v>111753.84</v>
      </c>
      <c r="O1153" s="84">
        <v>0</v>
      </c>
      <c r="P1153" s="84">
        <v>208230.56</v>
      </c>
      <c r="Q1153" s="255">
        <f>SUM(H1153:P1153)</f>
        <v>497446.19</v>
      </c>
      <c r="R1153" s="255">
        <v>0</v>
      </c>
      <c r="S1153" s="255">
        <v>85646.24</v>
      </c>
      <c r="T1153" s="39">
        <v>0</v>
      </c>
      <c r="U1153" s="39">
        <v>0</v>
      </c>
      <c r="V1153" s="39">
        <v>0</v>
      </c>
      <c r="W1153" s="83">
        <f>Q1153+G1153+R1153+S1153+T1153+U1153+V1153</f>
        <v>583092.43000000005</v>
      </c>
      <c r="X1153" s="41"/>
      <c r="Z1153" s="220">
        <f>W1153-583092.43</f>
        <v>0</v>
      </c>
    </row>
    <row r="1154" spans="1:26" ht="12.75" x14ac:dyDescent="0.2">
      <c r="A1154" s="82" t="s">
        <v>42</v>
      </c>
      <c r="B1154" s="141">
        <f t="shared" ref="B1154:W1154" si="311">B1151+B1153-B1105</f>
        <v>8.276401786133647E-11</v>
      </c>
      <c r="C1154" s="141">
        <f t="shared" si="311"/>
        <v>1495905.4999999995</v>
      </c>
      <c r="D1154" s="141">
        <f t="shared" si="311"/>
        <v>2196265.0599999996</v>
      </c>
      <c r="E1154" s="141">
        <f t="shared" si="311"/>
        <v>917330.69999999972</v>
      </c>
      <c r="F1154" s="141">
        <f t="shared" si="311"/>
        <v>-8.5856299847364426E-10</v>
      </c>
      <c r="G1154" s="39">
        <f t="shared" si="311"/>
        <v>4609501.2600000072</v>
      </c>
      <c r="H1154" s="141">
        <f t="shared" si="311"/>
        <v>1.8226273823529482E-9</v>
      </c>
      <c r="I1154" s="141">
        <f t="shared" si="311"/>
        <v>6.4210325945168734E-10</v>
      </c>
      <c r="J1154" s="141">
        <f t="shared" si="311"/>
        <v>1067578.9500000016</v>
      </c>
      <c r="K1154" s="141">
        <f t="shared" si="311"/>
        <v>999391.85999999987</v>
      </c>
      <c r="L1154" s="141">
        <f t="shared" si="311"/>
        <v>85.630000000800351</v>
      </c>
      <c r="M1154" s="141">
        <f t="shared" si="311"/>
        <v>184629.1800000004</v>
      </c>
      <c r="N1154" s="141">
        <f t="shared" si="311"/>
        <v>943335.84000000102</v>
      </c>
      <c r="O1154" s="141">
        <f t="shared" si="311"/>
        <v>1285292.6700000006</v>
      </c>
      <c r="P1154" s="141">
        <f t="shared" si="311"/>
        <v>2007187.3400000005</v>
      </c>
      <c r="Q1154" s="39">
        <f t="shared" si="311"/>
        <v>6487501.4699999839</v>
      </c>
      <c r="R1154" s="39">
        <f t="shared" si="311"/>
        <v>38068.500000003012</v>
      </c>
      <c r="S1154" s="39">
        <f t="shared" si="311"/>
        <v>1677955.4999999995</v>
      </c>
      <c r="T1154" s="39">
        <f t="shared" si="311"/>
        <v>3.092281986027956E-11</v>
      </c>
      <c r="U1154" s="39">
        <f t="shared" si="311"/>
        <v>1.0368239600211382E-10</v>
      </c>
      <c r="V1154" s="39">
        <f t="shared" si="311"/>
        <v>0</v>
      </c>
      <c r="W1154" s="140">
        <f t="shared" si="311"/>
        <v>12813026.729999987</v>
      </c>
      <c r="X1154" s="41">
        <f>W1153+X1151</f>
        <v>579829423.12840557</v>
      </c>
    </row>
    <row r="1155" spans="1:26" ht="12.75" x14ac:dyDescent="0.2">
      <c r="A1155" s="85"/>
      <c r="B1155" s="43"/>
      <c r="C1155" s="43"/>
      <c r="D1155" s="43"/>
      <c r="E1155" s="43"/>
      <c r="F1155" s="43"/>
      <c r="G1155" s="47"/>
      <c r="H1155" s="43"/>
      <c r="I1155" s="43"/>
      <c r="J1155" s="43"/>
      <c r="K1155" s="43"/>
      <c r="L1155" s="43"/>
      <c r="M1155" s="43"/>
      <c r="N1155" s="43"/>
      <c r="O1155" s="43"/>
      <c r="P1155" s="43"/>
      <c r="Q1155" s="47"/>
      <c r="R1155" s="47"/>
      <c r="S1155" s="47"/>
      <c r="T1155" s="47"/>
      <c r="U1155" s="47"/>
      <c r="V1155" s="43"/>
      <c r="W1155" s="87"/>
      <c r="X1155" s="46"/>
    </row>
    <row r="1156" spans="1:26" ht="12.75" x14ac:dyDescent="0.2">
      <c r="A1156" s="82" t="s">
        <v>51</v>
      </c>
      <c r="B1156" s="38">
        <v>0</v>
      </c>
      <c r="C1156" s="38">
        <v>0</v>
      </c>
      <c r="D1156" s="38">
        <v>0</v>
      </c>
      <c r="E1156" s="38">
        <v>15144.34</v>
      </c>
      <c r="F1156" s="38">
        <v>0</v>
      </c>
      <c r="G1156" s="39">
        <f>SUM(B1156:F1156)</f>
        <v>15144.34</v>
      </c>
      <c r="H1156" s="38">
        <v>0</v>
      </c>
      <c r="I1156" s="84">
        <v>0</v>
      </c>
      <c r="J1156" s="84">
        <v>117211.15</v>
      </c>
      <c r="K1156" s="84">
        <v>60145.62</v>
      </c>
      <c r="L1156" s="84">
        <v>0</v>
      </c>
      <c r="M1156" s="84">
        <v>0</v>
      </c>
      <c r="N1156" s="84">
        <v>120256.48</v>
      </c>
      <c r="O1156" s="84">
        <v>8173.1</v>
      </c>
      <c r="P1156" s="84">
        <v>215130.48</v>
      </c>
      <c r="Q1156" s="255">
        <f>SUM(H1156:P1156)</f>
        <v>520916.82999999996</v>
      </c>
      <c r="R1156" s="255">
        <v>0</v>
      </c>
      <c r="S1156" s="255">
        <v>43726.2</v>
      </c>
      <c r="T1156" s="39">
        <v>0</v>
      </c>
      <c r="U1156" s="39">
        <v>0</v>
      </c>
      <c r="V1156" s="39">
        <v>0</v>
      </c>
      <c r="W1156" s="83">
        <f>Q1156+G1156+R1156+S1156+T1156+U1156+V1156</f>
        <v>579787.36999999988</v>
      </c>
      <c r="X1156" s="41"/>
      <c r="Z1156" s="220">
        <f>W1156-579787.37</f>
        <v>0</v>
      </c>
    </row>
    <row r="1157" spans="1:26" ht="12.75" x14ac:dyDescent="0.2">
      <c r="A1157" s="82" t="s">
        <v>42</v>
      </c>
      <c r="B1157" s="141">
        <f t="shared" ref="B1157:W1157" si="312">B1154+B1156-B1108</f>
        <v>8.276401786133647E-11</v>
      </c>
      <c r="C1157" s="141">
        <f t="shared" si="312"/>
        <v>1346368.6099999994</v>
      </c>
      <c r="D1157" s="141">
        <f t="shared" si="312"/>
        <v>1922823.2799999996</v>
      </c>
      <c r="E1157" s="141">
        <f t="shared" si="312"/>
        <v>549073.94999999972</v>
      </c>
      <c r="F1157" s="141">
        <f t="shared" si="312"/>
        <v>-8.5856299847364426E-10</v>
      </c>
      <c r="G1157" s="39">
        <f t="shared" si="312"/>
        <v>3818265.8400000073</v>
      </c>
      <c r="H1157" s="141">
        <f t="shared" si="312"/>
        <v>1.8226273823529482E-9</v>
      </c>
      <c r="I1157" s="141">
        <f t="shared" si="312"/>
        <v>6.4210325945168734E-10</v>
      </c>
      <c r="J1157" s="141">
        <f t="shared" si="312"/>
        <v>1060965.8100000015</v>
      </c>
      <c r="K1157" s="141">
        <f t="shared" si="312"/>
        <v>936391.78</v>
      </c>
      <c r="L1157" s="141">
        <f t="shared" si="312"/>
        <v>85.630000000800351</v>
      </c>
      <c r="M1157" s="141">
        <f t="shared" si="312"/>
        <v>138390.7400000004</v>
      </c>
      <c r="N1157" s="141">
        <f t="shared" si="312"/>
        <v>901110.79000000097</v>
      </c>
      <c r="O1157" s="141">
        <f t="shared" si="312"/>
        <v>1131858.6000000008</v>
      </c>
      <c r="P1157" s="141">
        <f t="shared" si="312"/>
        <v>2007374.9100000008</v>
      </c>
      <c r="Q1157" s="39">
        <f t="shared" si="312"/>
        <v>6176178.2599999839</v>
      </c>
      <c r="R1157" s="39">
        <f t="shared" si="312"/>
        <v>3.0122464522719383E-9</v>
      </c>
      <c r="S1157" s="39">
        <f t="shared" si="312"/>
        <v>1612266.4299999995</v>
      </c>
      <c r="T1157" s="39">
        <f t="shared" si="312"/>
        <v>3.092281986027956E-11</v>
      </c>
      <c r="U1157" s="39">
        <f t="shared" si="312"/>
        <v>1.0368239600211382E-10</v>
      </c>
      <c r="V1157" s="39">
        <f t="shared" si="312"/>
        <v>0</v>
      </c>
      <c r="W1157" s="140">
        <f t="shared" si="312"/>
        <v>11606710.529999986</v>
      </c>
      <c r="X1157" s="41">
        <f>W1156+X1154</f>
        <v>580409210.49840558</v>
      </c>
    </row>
    <row r="1158" spans="1:26" ht="12.75" x14ac:dyDescent="0.2">
      <c r="A1158" s="85"/>
      <c r="B1158" s="44"/>
      <c r="C1158" s="44"/>
      <c r="D1158" s="44"/>
      <c r="E1158" s="44"/>
      <c r="F1158" s="44"/>
      <c r="G1158" s="45"/>
      <c r="H1158" s="44"/>
      <c r="I1158" s="44"/>
      <c r="J1158" s="44"/>
      <c r="K1158" s="44"/>
      <c r="L1158" s="44"/>
      <c r="M1158" s="44"/>
      <c r="N1158" s="44"/>
      <c r="O1158" s="44"/>
      <c r="P1158" s="44"/>
      <c r="Q1158" s="45"/>
      <c r="R1158" s="47"/>
      <c r="S1158" s="47"/>
      <c r="T1158" s="47"/>
      <c r="U1158" s="47"/>
      <c r="V1158" s="43"/>
      <c r="W1158" s="86"/>
      <c r="X1158" s="46"/>
    </row>
    <row r="1159" spans="1:26" ht="12.75" x14ac:dyDescent="0.2">
      <c r="A1159" s="82" t="s">
        <v>52</v>
      </c>
      <c r="B1159" s="38">
        <v>0</v>
      </c>
      <c r="C1159" s="38">
        <v>0</v>
      </c>
      <c r="D1159" s="38">
        <v>0</v>
      </c>
      <c r="E1159" s="38">
        <v>42126.46</v>
      </c>
      <c r="F1159" s="38">
        <v>0</v>
      </c>
      <c r="G1159" s="39">
        <f>SUM(B1159:F1159)</f>
        <v>42126.46</v>
      </c>
      <c r="H1159" s="38">
        <v>0</v>
      </c>
      <c r="I1159" s="84">
        <v>0</v>
      </c>
      <c r="J1159" s="84">
        <v>117467.89</v>
      </c>
      <c r="K1159" s="84">
        <v>109685.53</v>
      </c>
      <c r="L1159" s="84">
        <v>0</v>
      </c>
      <c r="M1159" s="84">
        <v>0</v>
      </c>
      <c r="N1159" s="84">
        <v>104459.42</v>
      </c>
      <c r="O1159" s="84">
        <v>0</v>
      </c>
      <c r="P1159" s="84">
        <v>210053.76000000001</v>
      </c>
      <c r="Q1159" s="255">
        <f>SUM(H1159:P1159)</f>
        <v>541666.6</v>
      </c>
      <c r="R1159" s="255">
        <v>0</v>
      </c>
      <c r="S1159" s="255">
        <v>0</v>
      </c>
      <c r="T1159" s="39">
        <v>0</v>
      </c>
      <c r="U1159" s="39">
        <v>0</v>
      </c>
      <c r="V1159" s="39">
        <v>0</v>
      </c>
      <c r="W1159" s="83">
        <f>Q1159+G1159+R1159+S1159+T1159+U1159+V1159</f>
        <v>583793.05999999994</v>
      </c>
      <c r="X1159" s="41"/>
      <c r="Z1159" s="220">
        <f>W1159-583793.06</f>
        <v>0</v>
      </c>
    </row>
    <row r="1160" spans="1:26" ht="12.75" x14ac:dyDescent="0.2">
      <c r="A1160" s="82" t="s">
        <v>42</v>
      </c>
      <c r="B1160" s="141">
        <f t="shared" ref="B1160:W1160" si="313">B1157+B1159-B1111</f>
        <v>8.276401786133647E-11</v>
      </c>
      <c r="C1160" s="141">
        <f t="shared" si="313"/>
        <v>1209550.8999999994</v>
      </c>
      <c r="D1160" s="141">
        <f t="shared" si="313"/>
        <v>1729363.2899999996</v>
      </c>
      <c r="E1160" s="141">
        <f t="shared" si="313"/>
        <v>282828.64999999967</v>
      </c>
      <c r="F1160" s="141">
        <f t="shared" si="313"/>
        <v>-8.5856299847364426E-10</v>
      </c>
      <c r="G1160" s="39">
        <f t="shared" si="313"/>
        <v>3221742.8400000073</v>
      </c>
      <c r="H1160" s="141">
        <f t="shared" si="313"/>
        <v>1.8226273823529482E-9</v>
      </c>
      <c r="I1160" s="141">
        <f t="shared" si="313"/>
        <v>6.4210325945168734E-10</v>
      </c>
      <c r="J1160" s="141">
        <f t="shared" si="313"/>
        <v>1056848.4900000014</v>
      </c>
      <c r="K1160" s="141">
        <f t="shared" si="313"/>
        <v>929554.54</v>
      </c>
      <c r="L1160" s="141">
        <f t="shared" si="313"/>
        <v>8.0035533756017685E-10</v>
      </c>
      <c r="M1160" s="141">
        <f t="shared" si="313"/>
        <v>102057.5700000004</v>
      </c>
      <c r="N1160" s="141">
        <f t="shared" si="313"/>
        <v>849338.450000001</v>
      </c>
      <c r="O1160" s="141">
        <f t="shared" si="313"/>
        <v>889683.9800000008</v>
      </c>
      <c r="P1160" s="141">
        <f t="shared" si="313"/>
        <v>2001906.4400000009</v>
      </c>
      <c r="Q1160" s="39">
        <f t="shared" si="313"/>
        <v>5829389.4699999839</v>
      </c>
      <c r="R1160" s="39">
        <f t="shared" si="313"/>
        <v>3.0122464522719383E-9</v>
      </c>
      <c r="S1160" s="39">
        <f t="shared" si="313"/>
        <v>1552918.7899999996</v>
      </c>
      <c r="T1160" s="39">
        <f t="shared" si="313"/>
        <v>3.092281986027956E-11</v>
      </c>
      <c r="U1160" s="39">
        <f t="shared" si="313"/>
        <v>1.0368239600211382E-10</v>
      </c>
      <c r="V1160" s="39">
        <f t="shared" si="313"/>
        <v>0</v>
      </c>
      <c r="W1160" s="140">
        <f t="shared" si="313"/>
        <v>10604051.099999987</v>
      </c>
      <c r="X1160" s="41">
        <f>W1159+X1157</f>
        <v>580993003.55840552</v>
      </c>
    </row>
    <row r="1161" spans="1:26" ht="12.75" x14ac:dyDescent="0.2">
      <c r="A1161" s="85"/>
      <c r="B1161" s="43"/>
      <c r="C1161" s="43"/>
      <c r="D1161" s="43"/>
      <c r="E1161" s="43"/>
      <c r="F1161" s="43"/>
      <c r="G1161" s="47"/>
      <c r="H1161" s="43"/>
      <c r="I1161" s="43"/>
      <c r="J1161" s="43"/>
      <c r="K1161" s="43"/>
      <c r="L1161" s="43"/>
      <c r="M1161" s="43"/>
      <c r="N1161" s="43"/>
      <c r="O1161" s="43"/>
      <c r="P1161" s="43"/>
      <c r="Q1161" s="47"/>
      <c r="R1161" s="47"/>
      <c r="S1161" s="47"/>
      <c r="T1161" s="47"/>
      <c r="U1161" s="47"/>
      <c r="V1161" s="43"/>
      <c r="W1161" s="87"/>
      <c r="X1161" s="46"/>
    </row>
    <row r="1162" spans="1:26" ht="12.75" x14ac:dyDescent="0.2">
      <c r="A1162" s="82" t="s">
        <v>53</v>
      </c>
      <c r="B1162" s="38">
        <v>0</v>
      </c>
      <c r="C1162" s="38">
        <v>6278.15</v>
      </c>
      <c r="D1162" s="38">
        <v>0</v>
      </c>
      <c r="E1162" s="38">
        <v>0</v>
      </c>
      <c r="F1162" s="38">
        <v>0</v>
      </c>
      <c r="G1162" s="39">
        <f>SUM(B1162:F1162)</f>
        <v>6278.15</v>
      </c>
      <c r="H1162" s="38">
        <v>0</v>
      </c>
      <c r="I1162" s="84">
        <v>0</v>
      </c>
      <c r="J1162" s="84">
        <v>84875.53</v>
      </c>
      <c r="K1162" s="84">
        <v>84759.73</v>
      </c>
      <c r="L1162" s="84">
        <v>0</v>
      </c>
      <c r="M1162" s="84">
        <v>0</v>
      </c>
      <c r="N1162" s="84">
        <v>0</v>
      </c>
      <c r="O1162" s="84">
        <v>102307.71</v>
      </c>
      <c r="P1162" s="84">
        <v>4692.09</v>
      </c>
      <c r="Q1162" s="255">
        <f>SUM(H1162:P1162)</f>
        <v>276635.06000000006</v>
      </c>
      <c r="R1162" s="255">
        <v>0</v>
      </c>
      <c r="S1162" s="255">
        <v>0</v>
      </c>
      <c r="T1162" s="39">
        <v>0</v>
      </c>
      <c r="U1162" s="39">
        <v>0</v>
      </c>
      <c r="V1162" s="39">
        <v>0</v>
      </c>
      <c r="W1162" s="83">
        <f>Q1162+G1162+R1162+S1162+T1162+U1162+V1162</f>
        <v>282913.21000000008</v>
      </c>
      <c r="X1162" s="41"/>
      <c r="Z1162" s="220">
        <f>W1162-282913.21</f>
        <v>0</v>
      </c>
    </row>
    <row r="1163" spans="1:26" ht="13.5" thickBot="1" x14ac:dyDescent="0.25">
      <c r="A1163" s="88" t="s">
        <v>42</v>
      </c>
      <c r="B1163" s="143">
        <f t="shared" ref="B1163:W1163" si="314">B1160+B1162-B1114</f>
        <v>8.276401786133647E-11</v>
      </c>
      <c r="C1163" s="143">
        <f t="shared" si="314"/>
        <v>1053556.7999999993</v>
      </c>
      <c r="D1163" s="143">
        <f t="shared" si="314"/>
        <v>1422793.2999999996</v>
      </c>
      <c r="E1163" s="143">
        <f t="shared" si="314"/>
        <v>167488.07999999967</v>
      </c>
      <c r="F1163" s="143">
        <f t="shared" si="314"/>
        <v>-8.5856299847364426E-10</v>
      </c>
      <c r="G1163" s="50">
        <f t="shared" si="314"/>
        <v>2643838.1800000072</v>
      </c>
      <c r="H1163" s="143">
        <f t="shared" si="314"/>
        <v>1.8226273823529482E-9</v>
      </c>
      <c r="I1163" s="143">
        <f t="shared" si="314"/>
        <v>6.4210325945168734E-10</v>
      </c>
      <c r="J1163" s="143">
        <f t="shared" si="314"/>
        <v>980399.83000000147</v>
      </c>
      <c r="K1163" s="143">
        <f t="shared" si="314"/>
        <v>864274.27</v>
      </c>
      <c r="L1163" s="198">
        <f t="shared" si="314"/>
        <v>8.0035533756017685E-10</v>
      </c>
      <c r="M1163" s="143">
        <f t="shared" si="314"/>
        <v>95083.390000000392</v>
      </c>
      <c r="N1163" s="143">
        <f t="shared" si="314"/>
        <v>738191.34000000102</v>
      </c>
      <c r="O1163" s="143">
        <f t="shared" si="314"/>
        <v>721178.42000000074</v>
      </c>
      <c r="P1163" s="143">
        <f t="shared" si="314"/>
        <v>1941269.6700000009</v>
      </c>
      <c r="Q1163" s="50">
        <f t="shared" si="314"/>
        <v>5340396.9199999841</v>
      </c>
      <c r="R1163" s="50">
        <f t="shared" si="314"/>
        <v>3.0122464522719383E-9</v>
      </c>
      <c r="S1163" s="50">
        <f t="shared" si="314"/>
        <v>1534914.5099999995</v>
      </c>
      <c r="T1163" s="50">
        <f t="shared" si="314"/>
        <v>3.092281986027956E-11</v>
      </c>
      <c r="U1163" s="50">
        <f t="shared" si="314"/>
        <v>1.0368239600211382E-10</v>
      </c>
      <c r="V1163" s="50">
        <f t="shared" si="314"/>
        <v>0</v>
      </c>
      <c r="W1163" s="144">
        <f t="shared" si="314"/>
        <v>9519149.6099999882</v>
      </c>
      <c r="X1163" s="51">
        <f>W1162+X1160</f>
        <v>581275916.76840556</v>
      </c>
    </row>
    <row r="1164" spans="1:26" ht="12.75" x14ac:dyDescent="0.2">
      <c r="B1164" s="52" t="s">
        <v>221</v>
      </c>
      <c r="C1164" s="90"/>
      <c r="D1164" s="90"/>
      <c r="E1164" s="90"/>
      <c r="F1164" s="90"/>
      <c r="G1164" s="90"/>
      <c r="I1164" s="90"/>
      <c r="J1164" s="90"/>
      <c r="K1164" s="90"/>
      <c r="L1164" s="90"/>
      <c r="M1164" s="90"/>
      <c r="N1164" s="90"/>
      <c r="O1164" s="171"/>
      <c r="P1164" s="90"/>
      <c r="Q1164" s="282" t="s">
        <v>248</v>
      </c>
      <c r="S1164" s="52"/>
      <c r="T1164" s="52"/>
      <c r="U1164" s="52"/>
    </row>
    <row r="1165" spans="1:26" ht="12.75" x14ac:dyDescent="0.2">
      <c r="B1165" s="281"/>
      <c r="C1165" s="137" t="s">
        <v>229</v>
      </c>
      <c r="L1165" s="1" t="s">
        <v>246</v>
      </c>
      <c r="M1165" s="1" t="s">
        <v>225</v>
      </c>
      <c r="P1165" t="s">
        <v>122</v>
      </c>
    </row>
    <row r="1166" spans="1:26" ht="12" x14ac:dyDescent="0.2">
      <c r="B1166" s="274" t="s">
        <v>60</v>
      </c>
      <c r="C1166" s="274"/>
      <c r="D1166" s="274"/>
      <c r="E1166" s="274"/>
      <c r="F1166" s="274"/>
      <c r="G1166" s="274"/>
      <c r="H1166" s="274"/>
      <c r="I1166" s="274"/>
      <c r="J1166" s="274"/>
      <c r="L1166" s="302">
        <f>I1163+J1163+K1163+O1163+S1163</f>
        <v>4100767.0300000021</v>
      </c>
      <c r="M1166" s="275">
        <f>L1163+M1163+N1163+P1163</f>
        <v>2774544.4000000032</v>
      </c>
    </row>
    <row r="1167" spans="1:26" x14ac:dyDescent="0.2">
      <c r="B1167" s="286"/>
      <c r="C1167" s="137" t="s">
        <v>231</v>
      </c>
      <c r="H1167" s="220">
        <f>H1099+H1102+H1105+H1108+H1111+H1114+H1129+H1132+H1135+H1138+H1141+H1144</f>
        <v>0</v>
      </c>
      <c r="I1167" s="220">
        <f t="shared" ref="I1167:O1167" si="315">I1099+I1102+I1105+I1108+I1111+I1114+I1129+I1132+I1135+I1138+I1141+I1144</f>
        <v>0</v>
      </c>
      <c r="J1167" s="220">
        <f t="shared" si="315"/>
        <v>1407318.0899999999</v>
      </c>
      <c r="K1167" s="220">
        <f t="shared" si="315"/>
        <v>1352020.52</v>
      </c>
      <c r="L1167" s="220">
        <f t="shared" si="315"/>
        <v>85.63</v>
      </c>
      <c r="M1167" s="220">
        <f t="shared" si="315"/>
        <v>184629.18</v>
      </c>
      <c r="N1167" s="220">
        <f t="shared" si="315"/>
        <v>1250100.0700000003</v>
      </c>
      <c r="O1167" s="220">
        <f t="shared" si="315"/>
        <v>1805530.1</v>
      </c>
      <c r="P1167" s="220">
        <f>P1099+P1102+P1105+P1108+P1111+P1114+P1129+P1132+P1135+P1138+P1141+P1144</f>
        <v>1368841.28</v>
      </c>
    </row>
    <row r="1168" spans="1:26" ht="27" x14ac:dyDescent="0.35">
      <c r="A1168" s="294" t="s">
        <v>249</v>
      </c>
      <c r="B1168" s="54"/>
      <c r="C1168" s="122"/>
      <c r="D1168" s="58"/>
      <c r="E1168" s="127"/>
      <c r="F1168" s="128"/>
      <c r="G1168" s="127"/>
      <c r="H1168" s="129"/>
      <c r="I1168" s="130"/>
      <c r="J1168" s="130"/>
      <c r="K1168" s="130"/>
      <c r="L1168" s="130"/>
      <c r="M1168" s="130"/>
      <c r="N1168" s="130"/>
      <c r="O1168" s="130"/>
      <c r="P1168" s="130"/>
      <c r="Q1168" s="130"/>
      <c r="R1168" s="128"/>
      <c r="S1168" s="128"/>
      <c r="T1168" s="128"/>
      <c r="U1168" s="128"/>
      <c r="V1168" s="128"/>
      <c r="W1168" s="130"/>
      <c r="X1168" s="131"/>
    </row>
    <row r="1169" spans="1:26" ht="27" x14ac:dyDescent="0.35">
      <c r="A1169" s="295" t="s">
        <v>60</v>
      </c>
      <c r="C1169" s="54"/>
      <c r="D1169" s="53"/>
      <c r="E1169" s="53"/>
      <c r="F1169" s="132"/>
      <c r="H1169" s="55"/>
      <c r="I1169" s="55"/>
      <c r="J1169" s="54"/>
      <c r="K1169" s="56"/>
      <c r="L1169" s="57"/>
      <c r="M1169" s="54"/>
      <c r="N1169" s="54" t="s">
        <v>60</v>
      </c>
      <c r="O1169" s="54"/>
      <c r="P1169" s="54"/>
      <c r="Q1169" s="57"/>
      <c r="R1169" s="58"/>
      <c r="S1169" s="58"/>
      <c r="T1169" s="58"/>
      <c r="U1169" s="58"/>
      <c r="V1169" s="58"/>
      <c r="W1169" s="54"/>
      <c r="X1169" s="54"/>
    </row>
    <row r="1170" spans="1:26" ht="27" x14ac:dyDescent="0.35">
      <c r="A1170" s="296" t="s">
        <v>6</v>
      </c>
      <c r="C1170" s="122"/>
      <c r="D1170" s="122"/>
      <c r="E1170" s="122"/>
      <c r="F1170" s="122"/>
      <c r="H1170" s="122"/>
      <c r="I1170" s="122"/>
      <c r="J1170" s="122"/>
      <c r="K1170" s="122"/>
      <c r="L1170" s="122"/>
      <c r="M1170" s="122"/>
      <c r="N1170" s="122"/>
      <c r="O1170" s="122"/>
      <c r="P1170" s="122"/>
      <c r="Q1170" s="122"/>
      <c r="R1170" s="122"/>
      <c r="S1170" s="122"/>
      <c r="T1170" s="122"/>
      <c r="U1170" s="122"/>
      <c r="V1170" s="122"/>
      <c r="W1170" s="142"/>
      <c r="X1170" s="122"/>
    </row>
    <row r="1171" spans="1:26" ht="12" thickBot="1" x14ac:dyDescent="0.25">
      <c r="B1171" s="2"/>
      <c r="C1171" s="2"/>
      <c r="D1171" s="2"/>
      <c r="E1171" s="2"/>
      <c r="F1171" s="59"/>
      <c r="G1171" s="2"/>
      <c r="H1171" s="2"/>
      <c r="I1171" s="2"/>
      <c r="J1171" s="2"/>
      <c r="K1171" s="2"/>
      <c r="L1171" s="2"/>
      <c r="M1171" s="2"/>
      <c r="N1171" s="2"/>
      <c r="O1171" s="2"/>
      <c r="P1171" s="2"/>
      <c r="Q1171" s="2" t="s">
        <v>60</v>
      </c>
      <c r="W1171" s="2"/>
      <c r="X1171" s="57"/>
    </row>
    <row r="1172" spans="1:26" x14ac:dyDescent="0.2">
      <c r="A1172" s="14"/>
      <c r="B1172" s="15"/>
      <c r="C1172" s="15"/>
      <c r="D1172" s="15"/>
      <c r="E1172" s="15"/>
      <c r="F1172" s="15"/>
      <c r="G1172" s="15"/>
      <c r="H1172" s="15"/>
      <c r="I1172" s="15"/>
      <c r="J1172" s="15"/>
      <c r="K1172" s="15"/>
      <c r="L1172" s="15"/>
      <c r="M1172" s="15"/>
      <c r="N1172" s="15"/>
      <c r="O1172" s="15"/>
      <c r="P1172" s="15"/>
      <c r="Q1172" s="15"/>
      <c r="R1172" s="16"/>
      <c r="S1172" s="16"/>
      <c r="T1172" s="16"/>
      <c r="U1172" s="16"/>
      <c r="V1172" s="16"/>
      <c r="W1172" s="15"/>
      <c r="X1172" s="60" t="s">
        <v>60</v>
      </c>
    </row>
    <row r="1173" spans="1:26" ht="13.5" thickBot="1" x14ac:dyDescent="0.25">
      <c r="A1173" s="18"/>
      <c r="B1173" s="61"/>
      <c r="C1173" s="62"/>
      <c r="D1173" s="63" t="s">
        <v>73</v>
      </c>
      <c r="E1173" s="64"/>
      <c r="F1173" s="64"/>
      <c r="G1173" s="64"/>
      <c r="H1173" s="61"/>
      <c r="I1173" s="64"/>
      <c r="J1173" s="64"/>
      <c r="K1173" s="65" t="s">
        <v>74</v>
      </c>
      <c r="L1173" s="64"/>
      <c r="M1173" s="64"/>
      <c r="N1173" s="64"/>
      <c r="O1173" s="64"/>
      <c r="P1173" s="64"/>
      <c r="Q1173" s="138"/>
      <c r="R1173" s="64"/>
      <c r="S1173" s="64"/>
      <c r="T1173" s="64"/>
      <c r="U1173" s="64"/>
      <c r="V1173" s="64"/>
      <c r="W1173" s="66"/>
      <c r="X1173" s="36" t="s">
        <v>60</v>
      </c>
    </row>
    <row r="1174" spans="1:26" ht="12" x14ac:dyDescent="0.2">
      <c r="A1174" s="67"/>
      <c r="B1174" s="68" t="s">
        <v>11</v>
      </c>
      <c r="C1174" s="68" t="s">
        <v>12</v>
      </c>
      <c r="D1174" s="68" t="s">
        <v>13</v>
      </c>
      <c r="E1174" s="68" t="s">
        <v>14</v>
      </c>
      <c r="F1174" s="68" t="s">
        <v>15</v>
      </c>
      <c r="G1174" s="69" t="s">
        <v>16</v>
      </c>
      <c r="H1174" s="68" t="s">
        <v>17</v>
      </c>
      <c r="I1174" s="70"/>
      <c r="J1174" s="70"/>
      <c r="K1174" s="70"/>
      <c r="L1174" s="70"/>
      <c r="M1174" s="68" t="s">
        <v>18</v>
      </c>
      <c r="N1174" s="68" t="s">
        <v>19</v>
      </c>
      <c r="O1174" s="68" t="s">
        <v>20</v>
      </c>
      <c r="P1174" s="68" t="s">
        <v>21</v>
      </c>
      <c r="Q1174" s="69" t="s">
        <v>16</v>
      </c>
      <c r="R1174" s="203" t="s">
        <v>69</v>
      </c>
      <c r="S1174" s="202" t="s">
        <v>126</v>
      </c>
      <c r="T1174" s="202" t="s">
        <v>138</v>
      </c>
      <c r="U1174" s="202" t="s">
        <v>134</v>
      </c>
      <c r="V1174" s="202" t="s">
        <v>136</v>
      </c>
      <c r="W1174" s="72" t="s">
        <v>7</v>
      </c>
      <c r="X1174" s="73" t="s">
        <v>70</v>
      </c>
    </row>
    <row r="1175" spans="1:26" ht="12.75" thickBot="1" x14ac:dyDescent="0.25">
      <c r="A1175" s="75"/>
      <c r="B1175" s="76" t="s">
        <v>23</v>
      </c>
      <c r="C1175" s="76" t="s">
        <v>24</v>
      </c>
      <c r="D1175" s="76" t="s">
        <v>25</v>
      </c>
      <c r="E1175" s="76" t="s">
        <v>26</v>
      </c>
      <c r="F1175" s="76" t="s">
        <v>27</v>
      </c>
      <c r="G1175" s="77" t="s">
        <v>28</v>
      </c>
      <c r="H1175" s="76" t="s">
        <v>29</v>
      </c>
      <c r="I1175" s="76" t="s">
        <v>30</v>
      </c>
      <c r="J1175" s="76" t="s">
        <v>31</v>
      </c>
      <c r="K1175" s="76" t="s">
        <v>32</v>
      </c>
      <c r="L1175" s="76" t="s">
        <v>33</v>
      </c>
      <c r="M1175" s="76" t="s">
        <v>34</v>
      </c>
      <c r="N1175" s="76" t="s">
        <v>35</v>
      </c>
      <c r="O1175" s="76" t="s">
        <v>36</v>
      </c>
      <c r="P1175" s="76" t="s">
        <v>37</v>
      </c>
      <c r="Q1175" s="77" t="s">
        <v>28</v>
      </c>
      <c r="R1175" s="204" t="s">
        <v>82</v>
      </c>
      <c r="S1175" s="78" t="s">
        <v>130</v>
      </c>
      <c r="T1175" s="78" t="s">
        <v>139</v>
      </c>
      <c r="U1175" s="78" t="s">
        <v>135</v>
      </c>
      <c r="V1175" s="78" t="s">
        <v>189</v>
      </c>
      <c r="W1175" s="79" t="s">
        <v>10</v>
      </c>
      <c r="X1175" s="80" t="s">
        <v>71</v>
      </c>
    </row>
    <row r="1176" spans="1:26" x14ac:dyDescent="0.2">
      <c r="A1176" s="18"/>
      <c r="B1176" s="33"/>
      <c r="C1176" s="33"/>
      <c r="D1176" s="33"/>
      <c r="E1176" s="33"/>
      <c r="F1176" s="33"/>
      <c r="G1176" s="34"/>
      <c r="H1176" s="33"/>
      <c r="I1176" s="33"/>
      <c r="J1176" s="33"/>
      <c r="K1176" s="33"/>
      <c r="L1176" s="33"/>
      <c r="M1176" s="33"/>
      <c r="N1176" s="33"/>
      <c r="O1176" s="33"/>
      <c r="P1176" s="33"/>
      <c r="Q1176" s="34"/>
      <c r="R1176" s="205"/>
      <c r="S1176" s="214"/>
      <c r="T1176" s="214"/>
      <c r="U1176" s="214"/>
      <c r="V1176" s="35"/>
      <c r="W1176" s="81"/>
      <c r="X1176" s="36"/>
    </row>
    <row r="1177" spans="1:26" ht="12.75" x14ac:dyDescent="0.2">
      <c r="A1177" s="82" t="s">
        <v>41</v>
      </c>
      <c r="B1177" s="38">
        <v>0</v>
      </c>
      <c r="C1177" s="38">
        <v>127122.53</v>
      </c>
      <c r="D1177" s="38">
        <v>0</v>
      </c>
      <c r="E1177" s="38">
        <v>66705.33</v>
      </c>
      <c r="F1177" s="38">
        <v>0</v>
      </c>
      <c r="G1177" s="39">
        <f>SUM(B1177:F1177)</f>
        <v>193827.86</v>
      </c>
      <c r="H1177" s="38">
        <v>0</v>
      </c>
      <c r="I1177" s="38">
        <v>0</v>
      </c>
      <c r="J1177" s="38">
        <v>93564.5</v>
      </c>
      <c r="K1177" s="38">
        <v>90695.76</v>
      </c>
      <c r="L1177" s="38">
        <v>0</v>
      </c>
      <c r="M1177" s="38">
        <v>0</v>
      </c>
      <c r="N1177" s="38">
        <v>0</v>
      </c>
      <c r="O1177" s="38">
        <v>119910.39</v>
      </c>
      <c r="P1177" s="38">
        <v>0</v>
      </c>
      <c r="Q1177" s="39">
        <f>SUM(H1177:P1177)</f>
        <v>304170.65000000002</v>
      </c>
      <c r="R1177" s="39">
        <v>0</v>
      </c>
      <c r="S1177" s="39">
        <v>0</v>
      </c>
      <c r="T1177" s="39">
        <v>0</v>
      </c>
      <c r="U1177" s="39">
        <v>0</v>
      </c>
      <c r="V1177" s="39">
        <v>0</v>
      </c>
      <c r="W1177" s="83">
        <f>Q1177+G1177+R1177+S1177+T1177+U1177+V1177</f>
        <v>497998.51</v>
      </c>
      <c r="X1177" s="41"/>
      <c r="Z1177" s="220">
        <f>W1177-497998.51</f>
        <v>0</v>
      </c>
    </row>
    <row r="1178" spans="1:26" ht="12.75" x14ac:dyDescent="0.2">
      <c r="A1178" s="82" t="s">
        <v>42</v>
      </c>
      <c r="B1178" s="141">
        <f t="shared" ref="B1178:W1178" si="316">B1163+B1177-B1129</f>
        <v>8.276401786133647E-11</v>
      </c>
      <c r="C1178" s="141">
        <f t="shared" si="316"/>
        <v>986363.43999999936</v>
      </c>
      <c r="D1178" s="141">
        <f t="shared" si="316"/>
        <v>1108414.2499999995</v>
      </c>
      <c r="E1178" s="141">
        <f t="shared" si="316"/>
        <v>234193.40999999968</v>
      </c>
      <c r="F1178" s="141">
        <f t="shared" si="316"/>
        <v>-8.5856299847364426E-10</v>
      </c>
      <c r="G1178" s="172">
        <f t="shared" si="316"/>
        <v>2328971.1000000071</v>
      </c>
      <c r="H1178" s="141">
        <f t="shared" si="316"/>
        <v>1.8226273823529482E-9</v>
      </c>
      <c r="I1178" s="141">
        <f t="shared" si="316"/>
        <v>6.4210325945168734E-10</v>
      </c>
      <c r="J1178" s="141">
        <f t="shared" si="316"/>
        <v>948232.2400000015</v>
      </c>
      <c r="K1178" s="141">
        <f t="shared" si="316"/>
        <v>836663.93</v>
      </c>
      <c r="L1178" s="141">
        <f t="shared" si="316"/>
        <v>8.0035533756017685E-10</v>
      </c>
      <c r="M1178" s="141">
        <f t="shared" si="316"/>
        <v>64346.050000000396</v>
      </c>
      <c r="N1178" s="141">
        <f t="shared" si="316"/>
        <v>581545.17000000097</v>
      </c>
      <c r="O1178" s="141">
        <f t="shared" si="316"/>
        <v>646426.71000000078</v>
      </c>
      <c r="P1178" s="141">
        <f t="shared" si="316"/>
        <v>1781902.7300000009</v>
      </c>
      <c r="Q1178" s="39">
        <f t="shared" si="316"/>
        <v>4859116.8299999842</v>
      </c>
      <c r="R1178" s="172">
        <f t="shared" si="316"/>
        <v>3.0122464522719383E-9</v>
      </c>
      <c r="S1178" s="172">
        <f t="shared" si="316"/>
        <v>1534914.5099999995</v>
      </c>
      <c r="T1178" s="172">
        <f t="shared" si="316"/>
        <v>3.092281986027956E-11</v>
      </c>
      <c r="U1178" s="172">
        <f t="shared" si="316"/>
        <v>1.0368239600211382E-10</v>
      </c>
      <c r="V1178" s="172">
        <f t="shared" si="316"/>
        <v>0</v>
      </c>
      <c r="W1178" s="83">
        <f t="shared" si="316"/>
        <v>8723002.4399999883</v>
      </c>
      <c r="X1178" s="41">
        <f>X1163+W1177</f>
        <v>581773915.27840555</v>
      </c>
    </row>
    <row r="1179" spans="1:26" ht="12.75" x14ac:dyDescent="0.2">
      <c r="A1179" s="85"/>
      <c r="B1179" s="38"/>
      <c r="C1179" s="38"/>
      <c r="D1179" s="38"/>
      <c r="E1179" s="38"/>
      <c r="F1179" s="38"/>
      <c r="G1179" s="39"/>
      <c r="H1179" s="38"/>
      <c r="I1179" s="38"/>
      <c r="J1179" s="38"/>
      <c r="K1179" s="38"/>
      <c r="L1179" s="38"/>
      <c r="M1179" s="38"/>
      <c r="N1179" s="38"/>
      <c r="O1179" s="38"/>
      <c r="P1179" s="38"/>
      <c r="Q1179" s="39" t="s">
        <v>60</v>
      </c>
      <c r="R1179" s="47"/>
      <c r="S1179" s="47"/>
      <c r="T1179" s="47"/>
      <c r="U1179" s="47"/>
      <c r="V1179" s="43"/>
      <c r="W1179" s="83"/>
      <c r="X1179" s="41"/>
    </row>
    <row r="1180" spans="1:26" ht="12.75" x14ac:dyDescent="0.2">
      <c r="A1180" s="82" t="s">
        <v>43</v>
      </c>
      <c r="B1180" s="38">
        <v>0</v>
      </c>
      <c r="C1180" s="38">
        <v>129661.79</v>
      </c>
      <c r="D1180" s="38">
        <v>0</v>
      </c>
      <c r="E1180" s="38">
        <v>188399.64</v>
      </c>
      <c r="F1180" s="38">
        <v>0</v>
      </c>
      <c r="G1180" s="39">
        <f>SUM(B1180:F1180)</f>
        <v>318061.43</v>
      </c>
      <c r="H1180" s="38">
        <v>0</v>
      </c>
      <c r="I1180" s="84">
        <v>0</v>
      </c>
      <c r="J1180" s="84">
        <v>80280.17</v>
      </c>
      <c r="K1180" s="84">
        <v>53457.55</v>
      </c>
      <c r="L1180" s="84">
        <v>0</v>
      </c>
      <c r="M1180" s="84">
        <v>0</v>
      </c>
      <c r="N1180" s="84">
        <v>0</v>
      </c>
      <c r="O1180" s="84">
        <v>17681.16</v>
      </c>
      <c r="P1180" s="84">
        <v>57804.2</v>
      </c>
      <c r="Q1180" s="255">
        <f>SUM(H1180:P1180)</f>
        <v>209223.08000000002</v>
      </c>
      <c r="R1180" s="255">
        <v>0</v>
      </c>
      <c r="S1180" s="255">
        <v>0</v>
      </c>
      <c r="T1180" s="39">
        <v>0</v>
      </c>
      <c r="U1180" s="39">
        <v>0</v>
      </c>
      <c r="V1180" s="39">
        <v>0</v>
      </c>
      <c r="W1180" s="83">
        <f>Q1180+G1180+R1180+S1180+T1180+U1180+V1180</f>
        <v>527284.51</v>
      </c>
      <c r="X1180" s="41"/>
      <c r="Z1180" s="220">
        <f>W1180-469480.32</f>
        <v>57804.19</v>
      </c>
    </row>
    <row r="1181" spans="1:26" ht="12.75" x14ac:dyDescent="0.2">
      <c r="A1181" s="82" t="s">
        <v>42</v>
      </c>
      <c r="B1181" s="141">
        <f t="shared" ref="B1181:W1181" si="317">B1178+B1180-B1132</f>
        <v>8.276401786133647E-11</v>
      </c>
      <c r="C1181" s="141">
        <f t="shared" si="317"/>
        <v>944190.03999999934</v>
      </c>
      <c r="D1181" s="141">
        <f t="shared" si="317"/>
        <v>869316.79999999958</v>
      </c>
      <c r="E1181" s="141">
        <f t="shared" si="317"/>
        <v>373342.34999999969</v>
      </c>
      <c r="F1181" s="141">
        <f t="shared" si="317"/>
        <v>-8.5856299847364426E-10</v>
      </c>
      <c r="G1181" s="39">
        <f t="shared" si="317"/>
        <v>2186849.1900000074</v>
      </c>
      <c r="H1181" s="141">
        <f t="shared" si="317"/>
        <v>1.8226273823529482E-9</v>
      </c>
      <c r="I1181" s="141">
        <f t="shared" si="317"/>
        <v>6.4210325945168734E-10</v>
      </c>
      <c r="J1181" s="141">
        <f t="shared" si="317"/>
        <v>889012.88000000152</v>
      </c>
      <c r="K1181" s="141">
        <f t="shared" si="317"/>
        <v>759515.38000000012</v>
      </c>
      <c r="L1181" s="141">
        <f t="shared" si="317"/>
        <v>8.0035533756017685E-10</v>
      </c>
      <c r="M1181" s="141">
        <f t="shared" si="317"/>
        <v>37794.690000000395</v>
      </c>
      <c r="N1181" s="141">
        <f t="shared" si="317"/>
        <v>528493.570000001</v>
      </c>
      <c r="O1181" s="141">
        <f t="shared" si="317"/>
        <v>444222.03000000084</v>
      </c>
      <c r="P1181" s="141">
        <f t="shared" si="317"/>
        <v>1662261.6000000008</v>
      </c>
      <c r="Q1181" s="39">
        <f t="shared" si="317"/>
        <v>4321300.1499999845</v>
      </c>
      <c r="R1181" s="39">
        <f t="shared" si="317"/>
        <v>3.0122464522719383E-9</v>
      </c>
      <c r="S1181" s="39">
        <f t="shared" si="317"/>
        <v>1511320.4799999995</v>
      </c>
      <c r="T1181" s="39">
        <f t="shared" si="317"/>
        <v>3.092281986027956E-11</v>
      </c>
      <c r="U1181" s="39">
        <f t="shared" si="317"/>
        <v>1.0368239600211382E-10</v>
      </c>
      <c r="V1181" s="39">
        <f t="shared" si="317"/>
        <v>0</v>
      </c>
      <c r="W1181" s="140">
        <f t="shared" si="317"/>
        <v>8019469.8199999882</v>
      </c>
      <c r="X1181" s="41">
        <f>W1180+X1178</f>
        <v>582301199.78840554</v>
      </c>
    </row>
    <row r="1182" spans="1:26" ht="12.75" x14ac:dyDescent="0.2">
      <c r="A1182" s="85"/>
      <c r="B1182" s="44"/>
      <c r="C1182" s="44"/>
      <c r="D1182" s="44"/>
      <c r="E1182" s="44"/>
      <c r="F1182" s="44"/>
      <c r="G1182" s="45"/>
      <c r="H1182" s="44"/>
      <c r="I1182" s="44"/>
      <c r="J1182" s="44"/>
      <c r="K1182" s="44"/>
      <c r="L1182" s="44"/>
      <c r="M1182" s="44"/>
      <c r="N1182" s="44"/>
      <c r="O1182" s="44"/>
      <c r="P1182" s="44"/>
      <c r="Q1182" s="45"/>
      <c r="R1182" s="47"/>
      <c r="S1182" s="47"/>
      <c r="T1182" s="47"/>
      <c r="U1182" s="47"/>
      <c r="V1182" s="43"/>
      <c r="W1182" s="86"/>
      <c r="X1182" s="46"/>
    </row>
    <row r="1183" spans="1:26" ht="12.75" x14ac:dyDescent="0.2">
      <c r="A1183" s="82" t="s">
        <v>44</v>
      </c>
      <c r="B1183" s="38">
        <v>0</v>
      </c>
      <c r="C1183" s="38">
        <v>114970.29</v>
      </c>
      <c r="D1183" s="38">
        <v>0</v>
      </c>
      <c r="E1183" s="38">
        <v>313426.89</v>
      </c>
      <c r="F1183" s="38">
        <v>0</v>
      </c>
      <c r="G1183" s="39">
        <f>SUM(B1183:F1183)</f>
        <v>428397.18</v>
      </c>
      <c r="H1183" s="38">
        <v>0</v>
      </c>
      <c r="I1183" s="84">
        <v>0</v>
      </c>
      <c r="J1183" s="84">
        <v>83123.23</v>
      </c>
      <c r="K1183" s="84">
        <v>19639.240000000002</v>
      </c>
      <c r="L1183" s="84">
        <v>0</v>
      </c>
      <c r="M1183" s="84">
        <v>0</v>
      </c>
      <c r="N1183" s="84">
        <v>0</v>
      </c>
      <c r="O1183" s="84">
        <v>32127.43</v>
      </c>
      <c r="P1183" s="84">
        <v>92244.27</v>
      </c>
      <c r="Q1183" s="255">
        <f>SUM(H1183:P1183)</f>
        <v>227134.16999999998</v>
      </c>
      <c r="R1183" s="255">
        <v>0</v>
      </c>
      <c r="S1183" s="255">
        <v>17005.669999999998</v>
      </c>
      <c r="T1183" s="39">
        <v>0</v>
      </c>
      <c r="U1183" s="39">
        <v>0</v>
      </c>
      <c r="V1183" s="39">
        <v>0</v>
      </c>
      <c r="W1183" s="83">
        <f>Q1183+G1183+R1183+S1183+T1183+U1183+V1183</f>
        <v>672537.02</v>
      </c>
      <c r="X1183" s="41"/>
      <c r="Z1183" s="220">
        <f>W1183-672537.02</f>
        <v>0</v>
      </c>
    </row>
    <row r="1184" spans="1:26" ht="12.75" x14ac:dyDescent="0.2">
      <c r="A1184" s="82" t="s">
        <v>42</v>
      </c>
      <c r="B1184" s="141">
        <f t="shared" ref="B1184:W1184" si="318">B1181+B1183-B1135</f>
        <v>8.276401786133647E-11</v>
      </c>
      <c r="C1184" s="141">
        <f t="shared" si="318"/>
        <v>894187.11999999941</v>
      </c>
      <c r="D1184" s="141">
        <f t="shared" si="318"/>
        <v>602253.64999999956</v>
      </c>
      <c r="E1184" s="141">
        <f t="shared" si="318"/>
        <v>630874.35999999975</v>
      </c>
      <c r="F1184" s="141">
        <f t="shared" si="318"/>
        <v>-8.5856299847364426E-10</v>
      </c>
      <c r="G1184" s="39">
        <f t="shared" si="318"/>
        <v>2127315.1300000073</v>
      </c>
      <c r="H1184" s="141">
        <f t="shared" si="318"/>
        <v>1.8226273823529482E-9</v>
      </c>
      <c r="I1184" s="141">
        <f t="shared" si="318"/>
        <v>6.4210325945168734E-10</v>
      </c>
      <c r="J1184" s="141">
        <f t="shared" si="318"/>
        <v>889574.37000000151</v>
      </c>
      <c r="K1184" s="141">
        <f t="shared" si="318"/>
        <v>699750.8</v>
      </c>
      <c r="L1184" s="141">
        <f t="shared" si="318"/>
        <v>8.0035533756017685E-10</v>
      </c>
      <c r="M1184" s="141">
        <f t="shared" si="318"/>
        <v>33867.680000000393</v>
      </c>
      <c r="N1184" s="141">
        <f t="shared" si="318"/>
        <v>429385.98000000103</v>
      </c>
      <c r="O1184" s="141">
        <f t="shared" si="318"/>
        <v>376322.99000000081</v>
      </c>
      <c r="P1184" s="141">
        <f t="shared" si="318"/>
        <v>1659581.5100000007</v>
      </c>
      <c r="Q1184" s="39">
        <f t="shared" si="318"/>
        <v>4088483.3299999842</v>
      </c>
      <c r="R1184" s="39">
        <f t="shared" si="318"/>
        <v>3.0122464522719383E-9</v>
      </c>
      <c r="S1184" s="39">
        <f t="shared" si="318"/>
        <v>1402309.8099999994</v>
      </c>
      <c r="T1184" s="39">
        <f t="shared" si="318"/>
        <v>3.092281986027956E-11</v>
      </c>
      <c r="U1184" s="39">
        <f t="shared" si="318"/>
        <v>1.0368239600211382E-10</v>
      </c>
      <c r="V1184" s="226">
        <f t="shared" si="318"/>
        <v>0</v>
      </c>
      <c r="W1184" s="83">
        <f t="shared" si="318"/>
        <v>7618108.2699999884</v>
      </c>
      <c r="X1184" s="41">
        <f>W1183+X1181</f>
        <v>582973736.80840552</v>
      </c>
    </row>
    <row r="1185" spans="1:26" ht="12.75" x14ac:dyDescent="0.2">
      <c r="A1185" s="85"/>
      <c r="B1185" s="43"/>
      <c r="C1185" s="43"/>
      <c r="D1185" s="43"/>
      <c r="E1185" s="43"/>
      <c r="F1185" s="43"/>
      <c r="G1185" s="47"/>
      <c r="H1185" s="43"/>
      <c r="I1185" s="43"/>
      <c r="J1185" s="43"/>
      <c r="K1185" s="43"/>
      <c r="L1185" s="43"/>
      <c r="M1185" s="43"/>
      <c r="N1185" s="43"/>
      <c r="O1185" s="43"/>
      <c r="P1185" s="43"/>
      <c r="Q1185" s="47"/>
      <c r="R1185" s="47"/>
      <c r="S1185" s="47"/>
      <c r="T1185" s="47"/>
      <c r="U1185" s="47"/>
      <c r="V1185" s="43"/>
      <c r="W1185" s="87"/>
      <c r="X1185" s="46"/>
    </row>
    <row r="1186" spans="1:26" ht="12.75" x14ac:dyDescent="0.2">
      <c r="A1186" s="82" t="s">
        <v>45</v>
      </c>
      <c r="B1186" s="38">
        <v>0</v>
      </c>
      <c r="C1186" s="38">
        <v>102375.03</v>
      </c>
      <c r="D1186" s="38">
        <v>0</v>
      </c>
      <c r="E1186" s="38">
        <v>180937</v>
      </c>
      <c r="F1186" s="38">
        <v>0</v>
      </c>
      <c r="G1186" s="39">
        <f>SUM(B1186:F1186)</f>
        <v>283312.03000000003</v>
      </c>
      <c r="H1186" s="38">
        <v>0</v>
      </c>
      <c r="I1186" s="84">
        <v>0</v>
      </c>
      <c r="J1186" s="84">
        <v>80417.45</v>
      </c>
      <c r="K1186" s="84">
        <v>44542.51</v>
      </c>
      <c r="L1186" s="84">
        <v>0</v>
      </c>
      <c r="M1186" s="84">
        <v>0</v>
      </c>
      <c r="N1186" s="84">
        <v>84763.42</v>
      </c>
      <c r="O1186" s="84">
        <v>7897.83</v>
      </c>
      <c r="P1186" s="84">
        <v>124952.56</v>
      </c>
      <c r="Q1186" s="255">
        <f>SUM(H1186:P1186)</f>
        <v>342573.77</v>
      </c>
      <c r="R1186" s="255">
        <v>0</v>
      </c>
      <c r="S1186" s="255">
        <v>49549.14</v>
      </c>
      <c r="T1186" s="39">
        <v>0</v>
      </c>
      <c r="U1186" s="39">
        <v>0</v>
      </c>
      <c r="V1186" s="39">
        <v>0</v>
      </c>
      <c r="W1186" s="83">
        <f>Q1186+G1186+R1186+S1186+T1186+U1186+V1186</f>
        <v>675434.94000000006</v>
      </c>
      <c r="X1186" s="41" t="s">
        <v>60</v>
      </c>
      <c r="Z1186" s="220">
        <f>W1186-675434.94</f>
        <v>0</v>
      </c>
    </row>
    <row r="1187" spans="1:26" ht="12.75" x14ac:dyDescent="0.2">
      <c r="A1187" s="82" t="s">
        <v>42</v>
      </c>
      <c r="B1187" s="141">
        <f t="shared" ref="B1187:W1187" si="319">B1184+B1186-B1138</f>
        <v>8.276401786133647E-11</v>
      </c>
      <c r="C1187" s="141">
        <f t="shared" si="319"/>
        <v>857442.66999999946</v>
      </c>
      <c r="D1187" s="141">
        <f t="shared" si="319"/>
        <v>307945.47999999957</v>
      </c>
      <c r="E1187" s="141">
        <f t="shared" si="319"/>
        <v>806739.6599999998</v>
      </c>
      <c r="F1187" s="141">
        <f t="shared" si="319"/>
        <v>-8.5856299847364426E-10</v>
      </c>
      <c r="G1187" s="39">
        <f t="shared" si="319"/>
        <v>1972127.8100000075</v>
      </c>
      <c r="H1187" s="141">
        <f t="shared" si="319"/>
        <v>1.8226273823529482E-9</v>
      </c>
      <c r="I1187" s="141">
        <f t="shared" si="319"/>
        <v>6.4210325945168734E-10</v>
      </c>
      <c r="J1187" s="141">
        <f t="shared" si="319"/>
        <v>875259.90000000142</v>
      </c>
      <c r="K1187" s="141">
        <f t="shared" si="319"/>
        <v>658441.09000000008</v>
      </c>
      <c r="L1187" s="141">
        <f t="shared" si="319"/>
        <v>8.0035533756017685E-10</v>
      </c>
      <c r="M1187" s="141">
        <f t="shared" si="319"/>
        <v>12683.990000000395</v>
      </c>
      <c r="N1187" s="141">
        <f t="shared" si="319"/>
        <v>464481.33000000101</v>
      </c>
      <c r="O1187" s="141">
        <f t="shared" si="319"/>
        <v>288097.62000000081</v>
      </c>
      <c r="P1187" s="141">
        <f t="shared" si="319"/>
        <v>1573954.4800000007</v>
      </c>
      <c r="Q1187" s="39">
        <f t="shared" si="319"/>
        <v>3872918.4099999848</v>
      </c>
      <c r="R1187" s="39">
        <f t="shared" si="319"/>
        <v>3.0122464522719383E-9</v>
      </c>
      <c r="S1187" s="39">
        <f t="shared" si="319"/>
        <v>1451858.9499999993</v>
      </c>
      <c r="T1187" s="39">
        <f t="shared" si="319"/>
        <v>3.092281986027956E-11</v>
      </c>
      <c r="U1187" s="39">
        <f t="shared" si="319"/>
        <v>1.0368239600211382E-10</v>
      </c>
      <c r="V1187" s="39">
        <f t="shared" si="319"/>
        <v>0</v>
      </c>
      <c r="W1187" s="140">
        <f t="shared" si="319"/>
        <v>7296905.1699999887</v>
      </c>
      <c r="X1187" s="41">
        <f>W1186+X1184</f>
        <v>583649171.74840558</v>
      </c>
    </row>
    <row r="1188" spans="1:26" ht="12.75" x14ac:dyDescent="0.2">
      <c r="A1188" s="85"/>
      <c r="B1188" s="44"/>
      <c r="C1188" s="44"/>
      <c r="D1188" s="44"/>
      <c r="E1188" s="44"/>
      <c r="F1188" s="43"/>
      <c r="G1188" s="45"/>
      <c r="H1188" s="44"/>
      <c r="I1188" s="44"/>
      <c r="J1188" s="44"/>
      <c r="K1188" s="44"/>
      <c r="L1188" s="44"/>
      <c r="M1188" s="44"/>
      <c r="N1188" s="44"/>
      <c r="O1188" s="44"/>
      <c r="P1188" s="44"/>
      <c r="Q1188" s="45"/>
      <c r="R1188" s="47"/>
      <c r="S1188" s="47"/>
      <c r="T1188" s="47"/>
      <c r="U1188" s="47"/>
      <c r="V1188" s="43"/>
      <c r="W1188" s="86"/>
      <c r="X1188" s="46"/>
    </row>
    <row r="1189" spans="1:26" ht="12.75" x14ac:dyDescent="0.2">
      <c r="A1189" s="82" t="s">
        <v>46</v>
      </c>
      <c r="B1189" s="38">
        <v>0</v>
      </c>
      <c r="C1189" s="38">
        <v>121079.22</v>
      </c>
      <c r="D1189" s="38">
        <v>0</v>
      </c>
      <c r="E1189" s="38">
        <v>70903.240000000005</v>
      </c>
      <c r="F1189" s="38">
        <v>0</v>
      </c>
      <c r="G1189" s="39">
        <f>SUM(B1189:F1189)</f>
        <v>191982.46000000002</v>
      </c>
      <c r="H1189" s="38">
        <v>0</v>
      </c>
      <c r="I1189" s="84">
        <v>0</v>
      </c>
      <c r="J1189" s="84">
        <v>73499.320000000007</v>
      </c>
      <c r="K1189" s="84">
        <v>42616.07</v>
      </c>
      <c r="L1189" s="84">
        <v>0</v>
      </c>
      <c r="M1189" s="84">
        <v>0</v>
      </c>
      <c r="N1189" s="84">
        <v>87012.12</v>
      </c>
      <c r="O1189" s="84">
        <v>50729.51</v>
      </c>
      <c r="P1189" s="84">
        <v>92489.88</v>
      </c>
      <c r="Q1189" s="255">
        <f>SUM(H1189:P1189)</f>
        <v>346346.9</v>
      </c>
      <c r="R1189" s="255">
        <v>0</v>
      </c>
      <c r="S1189" s="255">
        <v>66600.929999999993</v>
      </c>
      <c r="T1189" s="39">
        <v>0</v>
      </c>
      <c r="U1189" s="39">
        <v>0</v>
      </c>
      <c r="V1189" s="39">
        <v>0</v>
      </c>
      <c r="W1189" s="83">
        <f>Q1189+G1189+R1189+S1189+T1189+U1189+V1189</f>
        <v>604930.29</v>
      </c>
      <c r="X1189" s="41"/>
      <c r="Z1189" s="220">
        <f>W1189-604930.29</f>
        <v>0</v>
      </c>
    </row>
    <row r="1190" spans="1:26" ht="12.75" x14ac:dyDescent="0.2">
      <c r="A1190" s="82" t="s">
        <v>42</v>
      </c>
      <c r="B1190" s="141">
        <f t="shared" ref="B1190:W1190" si="320">B1187+B1189-B1141</f>
        <v>8.276401786133647E-11</v>
      </c>
      <c r="C1190" s="141">
        <f t="shared" si="320"/>
        <v>862854.12999999942</v>
      </c>
      <c r="D1190" s="141">
        <f t="shared" si="320"/>
        <v>66623.599999999569</v>
      </c>
      <c r="E1190" s="141">
        <f t="shared" si="320"/>
        <v>877642.89999999979</v>
      </c>
      <c r="F1190" s="141">
        <f t="shared" si="320"/>
        <v>-8.5856299847364426E-10</v>
      </c>
      <c r="G1190" s="39">
        <f t="shared" si="320"/>
        <v>1807120.6300000073</v>
      </c>
      <c r="H1190" s="141">
        <f t="shared" si="320"/>
        <v>1.8226273823529482E-9</v>
      </c>
      <c r="I1190" s="141">
        <f t="shared" si="320"/>
        <v>6.4210325945168734E-10</v>
      </c>
      <c r="J1190" s="141">
        <f t="shared" si="320"/>
        <v>901999.14000000141</v>
      </c>
      <c r="K1190" s="141">
        <f t="shared" si="320"/>
        <v>659232.38</v>
      </c>
      <c r="L1190" s="141">
        <f t="shared" si="320"/>
        <v>8.0035533756017685E-10</v>
      </c>
      <c r="M1190" s="141">
        <f t="shared" si="320"/>
        <v>3.9472070056945086E-10</v>
      </c>
      <c r="N1190" s="141">
        <f t="shared" si="320"/>
        <v>533112.84000000102</v>
      </c>
      <c r="O1190" s="141">
        <f t="shared" si="320"/>
        <v>338827.13000000082</v>
      </c>
      <c r="P1190" s="141">
        <f t="shared" si="320"/>
        <v>1567951.8400000008</v>
      </c>
      <c r="Q1190" s="39">
        <f t="shared" si="320"/>
        <v>4001123.3299999847</v>
      </c>
      <c r="R1190" s="39">
        <f t="shared" si="320"/>
        <v>3.0122464522719383E-9</v>
      </c>
      <c r="S1190" s="39">
        <f t="shared" si="320"/>
        <v>1419455.9599999993</v>
      </c>
      <c r="T1190" s="39">
        <f t="shared" si="320"/>
        <v>3.092281986027956E-11</v>
      </c>
      <c r="U1190" s="39">
        <f t="shared" si="320"/>
        <v>1.0368239600211382E-10</v>
      </c>
      <c r="V1190" s="39">
        <f t="shared" si="320"/>
        <v>0</v>
      </c>
      <c r="W1190" s="140">
        <f t="shared" si="320"/>
        <v>7227699.9199999887</v>
      </c>
      <c r="X1190" s="41">
        <f>W1189+X1187</f>
        <v>584254102.03840554</v>
      </c>
    </row>
    <row r="1191" spans="1:26" ht="12.75" x14ac:dyDescent="0.2">
      <c r="A1191" s="85"/>
      <c r="B1191" s="44"/>
      <c r="C1191" s="44"/>
      <c r="D1191" s="44"/>
      <c r="E1191" s="44"/>
      <c r="F1191" s="44"/>
      <c r="G1191" s="45"/>
      <c r="H1191" s="44"/>
      <c r="I1191" s="44"/>
      <c r="J1191" s="44"/>
      <c r="K1191" s="44"/>
      <c r="L1191" s="44"/>
      <c r="M1191" s="44"/>
      <c r="N1191" s="44"/>
      <c r="O1191" s="44"/>
      <c r="P1191" s="44"/>
      <c r="Q1191" s="45"/>
      <c r="R1191" s="47"/>
      <c r="S1191" s="47"/>
      <c r="T1191" s="47"/>
      <c r="U1191" s="47"/>
      <c r="V1191" s="43"/>
      <c r="W1191" s="86"/>
      <c r="X1191" s="46"/>
    </row>
    <row r="1192" spans="1:26" ht="12.75" x14ac:dyDescent="0.2">
      <c r="A1192" s="82" t="s">
        <v>47</v>
      </c>
      <c r="B1192" s="38">
        <v>0</v>
      </c>
      <c r="C1192" s="38">
        <v>145975.54999999999</v>
      </c>
      <c r="D1192" s="38">
        <v>0</v>
      </c>
      <c r="E1192" s="38">
        <v>64612.38</v>
      </c>
      <c r="F1192" s="38">
        <v>0</v>
      </c>
      <c r="G1192" s="39">
        <f>SUM(B1192:F1192)</f>
        <v>210587.93</v>
      </c>
      <c r="H1192" s="38">
        <v>0</v>
      </c>
      <c r="I1192" s="84">
        <v>0</v>
      </c>
      <c r="J1192" s="84">
        <v>94672.48</v>
      </c>
      <c r="K1192" s="84">
        <v>89402.62</v>
      </c>
      <c r="L1192" s="84">
        <v>0</v>
      </c>
      <c r="M1192" s="84">
        <v>0</v>
      </c>
      <c r="N1192" s="84">
        <v>73822.5</v>
      </c>
      <c r="O1192" s="84">
        <v>0</v>
      </c>
      <c r="P1192" s="84">
        <v>126245.38</v>
      </c>
      <c r="Q1192" s="255">
        <f>SUM(H1192:P1192)</f>
        <v>384142.98</v>
      </c>
      <c r="R1192" s="255">
        <v>0</v>
      </c>
      <c r="S1192" s="255">
        <v>172964.17</v>
      </c>
      <c r="T1192" s="39">
        <v>0</v>
      </c>
      <c r="U1192" s="39">
        <v>0</v>
      </c>
      <c r="V1192" s="39">
        <v>0</v>
      </c>
      <c r="W1192" s="83">
        <f>Q1192+G1192+R1192+S1192+T1192+U1192+V1192</f>
        <v>767695.08</v>
      </c>
      <c r="X1192" s="41"/>
      <c r="Z1192" s="220">
        <f>W1192-767695.08</f>
        <v>0</v>
      </c>
    </row>
    <row r="1193" spans="1:26" ht="12.75" x14ac:dyDescent="0.2">
      <c r="A1193" s="82" t="s">
        <v>42</v>
      </c>
      <c r="B1193" s="141">
        <f t="shared" ref="B1193:W1193" si="321">B1190+B1192-B1144</f>
        <v>8.276401786133647E-11</v>
      </c>
      <c r="C1193" s="141">
        <f t="shared" si="321"/>
        <v>941527.98999999953</v>
      </c>
      <c r="D1193" s="141">
        <f t="shared" si="321"/>
        <v>-4.3655745685100555E-10</v>
      </c>
      <c r="E1193" s="141">
        <f t="shared" si="321"/>
        <v>942255.2799999998</v>
      </c>
      <c r="F1193" s="141">
        <f t="shared" si="321"/>
        <v>-8.5856299847364426E-10</v>
      </c>
      <c r="G1193" s="39">
        <f t="shared" si="321"/>
        <v>1883783.2700000072</v>
      </c>
      <c r="H1193" s="141">
        <f t="shared" si="321"/>
        <v>1.8226273823529482E-9</v>
      </c>
      <c r="I1193" s="141">
        <f t="shared" si="321"/>
        <v>6.4210325945168734E-10</v>
      </c>
      <c r="J1193" s="141">
        <f t="shared" si="321"/>
        <v>996671.62000000139</v>
      </c>
      <c r="K1193" s="141">
        <f t="shared" si="321"/>
        <v>748635</v>
      </c>
      <c r="L1193" s="141">
        <f t="shared" si="321"/>
        <v>8.0035533756017685E-10</v>
      </c>
      <c r="M1193" s="141">
        <f t="shared" si="321"/>
        <v>3.9472070056945086E-10</v>
      </c>
      <c r="N1193" s="141">
        <f t="shared" si="321"/>
        <v>606935.34000000102</v>
      </c>
      <c r="O1193" s="141">
        <f t="shared" si="321"/>
        <v>338827.13000000082</v>
      </c>
      <c r="P1193" s="141">
        <f t="shared" si="321"/>
        <v>1561958.6800000006</v>
      </c>
      <c r="Q1193" s="39">
        <f t="shared" si="321"/>
        <v>4253027.7699999847</v>
      </c>
      <c r="R1193" s="39">
        <f t="shared" si="321"/>
        <v>3.0122464522719383E-9</v>
      </c>
      <c r="S1193" s="39">
        <f t="shared" si="321"/>
        <v>1135523.1699999992</v>
      </c>
      <c r="T1193" s="39">
        <f t="shared" si="321"/>
        <v>3.092281986027956E-11</v>
      </c>
      <c r="U1193" s="39">
        <f t="shared" si="321"/>
        <v>1.0368239600211382E-10</v>
      </c>
      <c r="V1193" s="39">
        <f t="shared" si="321"/>
        <v>0</v>
      </c>
      <c r="W1193" s="140">
        <f t="shared" si="321"/>
        <v>7272334.2099999888</v>
      </c>
      <c r="X1193" s="41">
        <f>W1192+X1190</f>
        <v>585021797.11840558</v>
      </c>
    </row>
    <row r="1194" spans="1:26" ht="12.75" x14ac:dyDescent="0.2">
      <c r="A1194" s="85"/>
      <c r="B1194" s="43"/>
      <c r="C1194" s="43"/>
      <c r="D1194" s="43"/>
      <c r="E1194" s="43"/>
      <c r="F1194" s="43"/>
      <c r="G1194" s="47"/>
      <c r="H1194" s="43"/>
      <c r="I1194" s="43"/>
      <c r="J1194" s="43"/>
      <c r="K1194" s="43"/>
      <c r="L1194" s="43"/>
      <c r="M1194" s="43"/>
      <c r="N1194" s="43"/>
      <c r="O1194" s="43"/>
      <c r="P1194" s="43"/>
      <c r="Q1194" s="47"/>
      <c r="R1194" s="47"/>
      <c r="S1194" s="47"/>
      <c r="T1194" s="47"/>
      <c r="U1194" s="47"/>
      <c r="V1194" s="43"/>
      <c r="W1194" s="87"/>
      <c r="X1194" s="46"/>
    </row>
    <row r="1195" spans="1:26" ht="12.75" x14ac:dyDescent="0.2">
      <c r="A1195" s="82" t="s">
        <v>48</v>
      </c>
      <c r="B1195" s="38">
        <v>0</v>
      </c>
      <c r="C1195" s="38">
        <v>162578.73000000001</v>
      </c>
      <c r="D1195" s="38">
        <v>0</v>
      </c>
      <c r="E1195" s="38">
        <v>0</v>
      </c>
      <c r="F1195" s="38">
        <v>0</v>
      </c>
      <c r="G1195" s="39">
        <f>SUM(B1195:F1195)</f>
        <v>162578.73000000001</v>
      </c>
      <c r="H1195" s="38">
        <v>0</v>
      </c>
      <c r="I1195" s="84">
        <v>0</v>
      </c>
      <c r="J1195" s="84">
        <v>99574.46</v>
      </c>
      <c r="K1195" s="84">
        <v>93601.29</v>
      </c>
      <c r="L1195" s="84">
        <v>0</v>
      </c>
      <c r="M1195" s="84">
        <v>0</v>
      </c>
      <c r="N1195" s="84">
        <v>62316.4</v>
      </c>
      <c r="O1195" s="84">
        <v>9526.39</v>
      </c>
      <c r="P1195" s="84">
        <v>130607.27</v>
      </c>
      <c r="Q1195" s="255">
        <f>SUM(H1195:P1195)</f>
        <v>395625.81</v>
      </c>
      <c r="R1195" s="255">
        <v>0</v>
      </c>
      <c r="S1195" s="255">
        <v>21280.68</v>
      </c>
      <c r="T1195" s="39">
        <v>0</v>
      </c>
      <c r="U1195" s="39">
        <v>0</v>
      </c>
      <c r="V1195" s="39">
        <v>0</v>
      </c>
      <c r="W1195" s="83">
        <f>Q1195+G1195+R1195+S1195+T1195+U1195+V1195</f>
        <v>579485.22000000009</v>
      </c>
      <c r="X1195" s="41"/>
      <c r="Z1195" s="220">
        <f>W1195-579485.22</f>
        <v>0</v>
      </c>
    </row>
    <row r="1196" spans="1:26" ht="12.75" x14ac:dyDescent="0.2">
      <c r="A1196" s="82" t="s">
        <v>42</v>
      </c>
      <c r="B1196" s="141">
        <f t="shared" ref="B1196:W1196" si="322">B1193+B1195-B1147</f>
        <v>8.276401786133647E-11</v>
      </c>
      <c r="C1196" s="141">
        <f t="shared" si="322"/>
        <v>1007038.1599999995</v>
      </c>
      <c r="D1196" s="141">
        <f t="shared" si="322"/>
        <v>-4.3655745685100555E-10</v>
      </c>
      <c r="E1196" s="141">
        <f t="shared" si="322"/>
        <v>942255.2799999998</v>
      </c>
      <c r="F1196" s="141">
        <f t="shared" si="322"/>
        <v>-8.5856299847364426E-10</v>
      </c>
      <c r="G1196" s="39">
        <f t="shared" si="322"/>
        <v>1949293.4400000072</v>
      </c>
      <c r="H1196" s="141">
        <f t="shared" si="322"/>
        <v>1.8226273823529482E-9</v>
      </c>
      <c r="I1196" s="141">
        <f t="shared" si="322"/>
        <v>6.4210325945168734E-10</v>
      </c>
      <c r="J1196" s="141">
        <f t="shared" si="322"/>
        <v>1096246.0800000015</v>
      </c>
      <c r="K1196" s="141">
        <f t="shared" si="322"/>
        <v>842236.29</v>
      </c>
      <c r="L1196" s="141">
        <f t="shared" si="322"/>
        <v>8.0035533756017685E-10</v>
      </c>
      <c r="M1196" s="141">
        <f t="shared" si="322"/>
        <v>3.9472070056945086E-10</v>
      </c>
      <c r="N1196" s="141">
        <f t="shared" si="322"/>
        <v>669251.74000000104</v>
      </c>
      <c r="O1196" s="141">
        <f t="shared" si="322"/>
        <v>348353.52000000083</v>
      </c>
      <c r="P1196" s="141">
        <f t="shared" si="322"/>
        <v>1477801.4100000006</v>
      </c>
      <c r="Q1196" s="39">
        <f t="shared" si="322"/>
        <v>4433889.0399999842</v>
      </c>
      <c r="R1196" s="39">
        <f t="shared" si="322"/>
        <v>3.0122464522719383E-9</v>
      </c>
      <c r="S1196" s="39">
        <f t="shared" si="322"/>
        <v>658376.86999999918</v>
      </c>
      <c r="T1196" s="39">
        <f t="shared" si="322"/>
        <v>3.092281986027956E-11</v>
      </c>
      <c r="U1196" s="39">
        <f t="shared" si="322"/>
        <v>1.0368239600211382E-10</v>
      </c>
      <c r="V1196" s="39">
        <f t="shared" si="322"/>
        <v>0</v>
      </c>
      <c r="W1196" s="298">
        <f t="shared" si="322"/>
        <v>7041559.3499999885</v>
      </c>
      <c r="X1196" s="41">
        <f>W1195+X1193</f>
        <v>585601282.33840561</v>
      </c>
    </row>
    <row r="1197" spans="1:26" ht="12.75" x14ac:dyDescent="0.2">
      <c r="A1197" s="85"/>
      <c r="B1197" s="44"/>
      <c r="C1197" s="44"/>
      <c r="D1197" s="44"/>
      <c r="E1197" s="44"/>
      <c r="F1197" s="44"/>
      <c r="G1197" s="45"/>
      <c r="H1197" s="44"/>
      <c r="I1197" s="44"/>
      <c r="J1197" s="44"/>
      <c r="K1197" s="44"/>
      <c r="L1197" s="44"/>
      <c r="M1197" s="44"/>
      <c r="N1197" s="44"/>
      <c r="O1197" s="44"/>
      <c r="P1197" s="44"/>
      <c r="Q1197" s="45"/>
      <c r="R1197" s="47"/>
      <c r="S1197" s="47"/>
      <c r="T1197" s="47"/>
      <c r="U1197" s="47"/>
      <c r="V1197" s="43"/>
      <c r="W1197" s="86"/>
      <c r="X1197" s="46"/>
    </row>
    <row r="1198" spans="1:26" ht="12.75" x14ac:dyDescent="0.2">
      <c r="A1198" s="82" t="s">
        <v>49</v>
      </c>
      <c r="B1198" s="38">
        <v>0</v>
      </c>
      <c r="C1198" s="38">
        <v>165656.91</v>
      </c>
      <c r="D1198" s="38">
        <v>0</v>
      </c>
      <c r="E1198" s="38">
        <v>0</v>
      </c>
      <c r="F1198" s="38">
        <v>0</v>
      </c>
      <c r="G1198" s="39">
        <f>SUM(B1198:F1198)</f>
        <v>165656.91</v>
      </c>
      <c r="H1198" s="38">
        <v>0</v>
      </c>
      <c r="I1198" s="84">
        <v>0</v>
      </c>
      <c r="J1198" s="84">
        <v>96593.43</v>
      </c>
      <c r="K1198" s="84">
        <v>93596.28</v>
      </c>
      <c r="L1198" s="84">
        <v>0</v>
      </c>
      <c r="M1198" s="84">
        <v>0</v>
      </c>
      <c r="N1198" s="84">
        <v>72276.960000000006</v>
      </c>
      <c r="O1198" s="84">
        <v>153955.19</v>
      </c>
      <c r="P1198" s="84">
        <v>96634.71</v>
      </c>
      <c r="Q1198" s="255">
        <f>SUM(H1198:P1198)</f>
        <v>513056.57</v>
      </c>
      <c r="R1198" s="255">
        <v>0</v>
      </c>
      <c r="S1198" s="255">
        <v>0</v>
      </c>
      <c r="T1198" s="39">
        <v>0</v>
      </c>
      <c r="U1198" s="39">
        <v>0</v>
      </c>
      <c r="V1198" s="39">
        <v>0</v>
      </c>
      <c r="W1198" s="83">
        <f>Q1198+G1198+R1198+S1198+T1198+U1198+V1198</f>
        <v>678713.48</v>
      </c>
      <c r="X1198" s="41"/>
      <c r="Z1198" s="220">
        <f>W1198-678713.48</f>
        <v>0</v>
      </c>
    </row>
    <row r="1199" spans="1:26" ht="12.75" x14ac:dyDescent="0.2">
      <c r="A1199" s="82" t="s">
        <v>42</v>
      </c>
      <c r="B1199" s="141">
        <f t="shared" ref="B1199:W1199" si="323">B1196+B1198-B1150</f>
        <v>8.276401786133647E-11</v>
      </c>
      <c r="C1199" s="141">
        <f t="shared" si="323"/>
        <v>1075698.1999999993</v>
      </c>
      <c r="D1199" s="141">
        <f t="shared" si="323"/>
        <v>-4.3655745685100555E-10</v>
      </c>
      <c r="E1199" s="141">
        <f t="shared" si="323"/>
        <v>942255.2799999998</v>
      </c>
      <c r="F1199" s="141">
        <f t="shared" si="323"/>
        <v>-8.5856299847364426E-10</v>
      </c>
      <c r="G1199" s="39">
        <f t="shared" si="323"/>
        <v>2017953.480000007</v>
      </c>
      <c r="H1199" s="141">
        <f t="shared" si="323"/>
        <v>1.8226273823529482E-9</v>
      </c>
      <c r="I1199" s="141">
        <f t="shared" si="323"/>
        <v>6.4210325945168734E-10</v>
      </c>
      <c r="J1199" s="141">
        <f t="shared" si="323"/>
        <v>1116168.4700000014</v>
      </c>
      <c r="K1199" s="141">
        <f t="shared" si="323"/>
        <v>864715.13000000012</v>
      </c>
      <c r="L1199" s="141">
        <f t="shared" si="323"/>
        <v>8.0035533756017685E-10</v>
      </c>
      <c r="M1199" s="141">
        <f t="shared" si="323"/>
        <v>3.9472070056945086E-10</v>
      </c>
      <c r="N1199" s="141">
        <f t="shared" si="323"/>
        <v>716661.14000000095</v>
      </c>
      <c r="O1199" s="141">
        <f t="shared" si="323"/>
        <v>502308.71000000084</v>
      </c>
      <c r="P1199" s="141">
        <f t="shared" si="323"/>
        <v>1359085.1600000006</v>
      </c>
      <c r="Q1199" s="39">
        <f t="shared" si="323"/>
        <v>4558938.6099999845</v>
      </c>
      <c r="R1199" s="39">
        <f t="shared" si="323"/>
        <v>3.0122464522719383E-9</v>
      </c>
      <c r="S1199" s="39">
        <f t="shared" si="323"/>
        <v>456773.02999999921</v>
      </c>
      <c r="T1199" s="39">
        <f t="shared" si="323"/>
        <v>3.092281986027956E-11</v>
      </c>
      <c r="U1199" s="39">
        <f t="shared" si="323"/>
        <v>1.0368239600211382E-10</v>
      </c>
      <c r="V1199" s="39">
        <f t="shared" si="323"/>
        <v>0</v>
      </c>
      <c r="W1199" s="140">
        <f t="shared" si="323"/>
        <v>7033665.1199999889</v>
      </c>
      <c r="X1199" s="41">
        <f>W1198+X1196</f>
        <v>586279995.81840563</v>
      </c>
    </row>
    <row r="1200" spans="1:26" ht="12.75" x14ac:dyDescent="0.2">
      <c r="A1200" s="85"/>
      <c r="B1200" s="43"/>
      <c r="C1200" s="43"/>
      <c r="D1200" s="43"/>
      <c r="E1200" s="43"/>
      <c r="F1200" s="43"/>
      <c r="G1200" s="47"/>
      <c r="H1200" s="43"/>
      <c r="I1200" s="43"/>
      <c r="J1200" s="43"/>
      <c r="K1200" s="43"/>
      <c r="L1200" s="43"/>
      <c r="M1200" s="43"/>
      <c r="N1200" s="43"/>
      <c r="O1200" s="43"/>
      <c r="P1200" s="43"/>
      <c r="Q1200" s="47"/>
      <c r="R1200" s="47"/>
      <c r="S1200" s="47"/>
      <c r="T1200" s="47"/>
      <c r="U1200" s="47"/>
      <c r="V1200" s="43"/>
      <c r="W1200" s="87"/>
      <c r="X1200" s="46"/>
    </row>
    <row r="1201" spans="1:27" ht="12.75" x14ac:dyDescent="0.2">
      <c r="A1201" s="82" t="s">
        <v>50</v>
      </c>
      <c r="B1201" s="38">
        <v>0</v>
      </c>
      <c r="C1201" s="38">
        <v>118399.56</v>
      </c>
      <c r="D1201" s="38">
        <v>0</v>
      </c>
      <c r="E1201" s="38">
        <v>0</v>
      </c>
      <c r="F1201" s="38">
        <v>0</v>
      </c>
      <c r="G1201" s="39">
        <f>SUM(B1201:F1201)</f>
        <v>118399.56</v>
      </c>
      <c r="H1201" s="38">
        <v>0</v>
      </c>
      <c r="I1201" s="84">
        <v>0</v>
      </c>
      <c r="J1201" s="84">
        <v>66157.440000000002</v>
      </c>
      <c r="K1201" s="84">
        <v>64551.199999999997</v>
      </c>
      <c r="L1201" s="84">
        <v>3044.42</v>
      </c>
      <c r="M1201" s="84">
        <v>0</v>
      </c>
      <c r="N1201" s="84">
        <v>69680.61</v>
      </c>
      <c r="O1201" s="84">
        <v>135567.96</v>
      </c>
      <c r="P1201" s="84">
        <v>0</v>
      </c>
      <c r="Q1201" s="255">
        <f>SUM(H1201:P1201)</f>
        <v>339001.63</v>
      </c>
      <c r="R1201" s="255">
        <v>0</v>
      </c>
      <c r="S1201" s="255">
        <v>0</v>
      </c>
      <c r="T1201" s="39">
        <v>0</v>
      </c>
      <c r="U1201" s="39">
        <v>0</v>
      </c>
      <c r="V1201" s="39">
        <v>0</v>
      </c>
      <c r="W1201" s="83">
        <f>Q1201+G1201+R1201+S1201+T1201+U1201+V1201</f>
        <v>457401.19</v>
      </c>
      <c r="X1201" s="41"/>
      <c r="Z1201" s="220">
        <f>W1201-457401.19</f>
        <v>0</v>
      </c>
    </row>
    <row r="1202" spans="1:27" ht="12.75" x14ac:dyDescent="0.2">
      <c r="A1202" s="82" t="s">
        <v>42</v>
      </c>
      <c r="B1202" s="141">
        <f t="shared" ref="B1202:W1202" si="324">B1199+B1201-B1153</f>
        <v>8.276401786133647E-11</v>
      </c>
      <c r="C1202" s="141">
        <f t="shared" si="324"/>
        <v>1194097.7599999993</v>
      </c>
      <c r="D1202" s="141">
        <f t="shared" si="324"/>
        <v>-4.3655745685100555E-10</v>
      </c>
      <c r="E1202" s="141">
        <f t="shared" si="324"/>
        <v>942255.2799999998</v>
      </c>
      <c r="F1202" s="141">
        <f t="shared" si="324"/>
        <v>-8.5856299847364426E-10</v>
      </c>
      <c r="G1202" s="39">
        <f t="shared" si="324"/>
        <v>2136353.040000007</v>
      </c>
      <c r="H1202" s="141">
        <f t="shared" si="324"/>
        <v>1.8226273823529482E-9</v>
      </c>
      <c r="I1202" s="141">
        <f t="shared" si="324"/>
        <v>6.4210325945168734E-10</v>
      </c>
      <c r="J1202" s="141">
        <f t="shared" si="324"/>
        <v>1087437.0500000012</v>
      </c>
      <c r="K1202" s="141">
        <f t="shared" si="324"/>
        <v>846693.40000000014</v>
      </c>
      <c r="L1202" s="141">
        <f t="shared" si="324"/>
        <v>3044.4200000008004</v>
      </c>
      <c r="M1202" s="141">
        <f t="shared" si="324"/>
        <v>3.9472070056945086E-10</v>
      </c>
      <c r="N1202" s="141">
        <f t="shared" si="324"/>
        <v>674587.91000000096</v>
      </c>
      <c r="O1202" s="141">
        <f t="shared" si="324"/>
        <v>637876.67000000086</v>
      </c>
      <c r="P1202" s="141">
        <f t="shared" si="324"/>
        <v>1150854.6000000006</v>
      </c>
      <c r="Q1202" s="39">
        <f t="shared" si="324"/>
        <v>4400494.049999984</v>
      </c>
      <c r="R1202" s="39">
        <f t="shared" si="324"/>
        <v>3.0122464522719383E-9</v>
      </c>
      <c r="S1202" s="39">
        <f t="shared" si="324"/>
        <v>371126.78999999922</v>
      </c>
      <c r="T1202" s="39">
        <f t="shared" si="324"/>
        <v>3.092281986027956E-11</v>
      </c>
      <c r="U1202" s="39">
        <f t="shared" si="324"/>
        <v>1.0368239600211382E-10</v>
      </c>
      <c r="V1202" s="39">
        <f t="shared" si="324"/>
        <v>0</v>
      </c>
      <c r="W1202" s="140">
        <f t="shared" si="324"/>
        <v>6907973.8799999896</v>
      </c>
      <c r="X1202" s="41">
        <f>W1201+X1199</f>
        <v>586737397.00840569</v>
      </c>
    </row>
    <row r="1203" spans="1:27" ht="12.75" x14ac:dyDescent="0.2">
      <c r="A1203" s="85"/>
      <c r="B1203" s="43"/>
      <c r="C1203" s="43"/>
      <c r="D1203" s="43"/>
      <c r="E1203" s="43"/>
      <c r="F1203" s="43"/>
      <c r="G1203" s="47"/>
      <c r="H1203" s="43"/>
      <c r="I1203" s="43"/>
      <c r="J1203" s="43"/>
      <c r="K1203" s="43"/>
      <c r="L1203" s="43"/>
      <c r="M1203" s="43"/>
      <c r="N1203" s="43"/>
      <c r="O1203" s="43"/>
      <c r="P1203" s="43"/>
      <c r="Q1203" s="47"/>
      <c r="R1203" s="47"/>
      <c r="S1203" s="47"/>
      <c r="T1203" s="47"/>
      <c r="U1203" s="47"/>
      <c r="V1203" s="43"/>
      <c r="W1203" s="87"/>
      <c r="X1203" s="46"/>
    </row>
    <row r="1204" spans="1:27" ht="12.75" x14ac:dyDescent="0.2">
      <c r="A1204" s="82" t="s">
        <v>51</v>
      </c>
      <c r="B1204" s="38">
        <v>0</v>
      </c>
      <c r="C1204" s="38">
        <v>173141.46</v>
      </c>
      <c r="D1204" s="38">
        <v>0</v>
      </c>
      <c r="E1204" s="38">
        <v>0</v>
      </c>
      <c r="F1204" s="38">
        <v>0</v>
      </c>
      <c r="G1204" s="39">
        <f>SUM(B1204:F1204)</f>
        <v>173141.46</v>
      </c>
      <c r="H1204" s="38">
        <v>0</v>
      </c>
      <c r="I1204" s="84">
        <v>0</v>
      </c>
      <c r="J1204" s="84">
        <v>75372.789999999994</v>
      </c>
      <c r="K1204" s="84">
        <v>69508.320000000007</v>
      </c>
      <c r="L1204" s="84">
        <v>0</v>
      </c>
      <c r="M1204" s="84">
        <v>0</v>
      </c>
      <c r="N1204" s="84">
        <v>66741.350000000006</v>
      </c>
      <c r="O1204" s="84">
        <v>143000.57999999999</v>
      </c>
      <c r="P1204" s="84">
        <v>62734.879999999997</v>
      </c>
      <c r="Q1204" s="255">
        <f>SUM(H1204:P1204)</f>
        <v>417357.92</v>
      </c>
      <c r="R1204" s="255">
        <v>0</v>
      </c>
      <c r="S1204" s="255">
        <v>0</v>
      </c>
      <c r="T1204" s="39">
        <v>0</v>
      </c>
      <c r="U1204" s="39">
        <v>0</v>
      </c>
      <c r="V1204" s="39">
        <v>0</v>
      </c>
      <c r="W1204" s="83">
        <f>Q1204+G1204+R1204+S1204+T1204+U1204+V1204</f>
        <v>590499.38</v>
      </c>
      <c r="X1204" s="41"/>
      <c r="Z1204" s="220">
        <f>W1204-590499.38</f>
        <v>0</v>
      </c>
      <c r="AA1204" s="1" t="s">
        <v>60</v>
      </c>
    </row>
    <row r="1205" spans="1:27" ht="12.75" x14ac:dyDescent="0.2">
      <c r="A1205" s="82" t="s">
        <v>42</v>
      </c>
      <c r="B1205" s="141">
        <f t="shared" ref="B1205:W1205" si="325">B1202+B1204-B1156</f>
        <v>8.276401786133647E-11</v>
      </c>
      <c r="C1205" s="141">
        <f t="shared" si="325"/>
        <v>1367239.2199999993</v>
      </c>
      <c r="D1205" s="141">
        <f t="shared" si="325"/>
        <v>-4.3655745685100555E-10</v>
      </c>
      <c r="E1205" s="141">
        <f t="shared" si="325"/>
        <v>927110.93999999983</v>
      </c>
      <c r="F1205" s="141">
        <f t="shared" si="325"/>
        <v>-8.5856299847364426E-10</v>
      </c>
      <c r="G1205" s="39">
        <f t="shared" si="325"/>
        <v>2294350.1600000071</v>
      </c>
      <c r="H1205" s="141">
        <f t="shared" si="325"/>
        <v>1.8226273823529482E-9</v>
      </c>
      <c r="I1205" s="141">
        <f t="shared" si="325"/>
        <v>6.4210325945168734E-10</v>
      </c>
      <c r="J1205" s="141">
        <f t="shared" si="325"/>
        <v>1045598.6900000012</v>
      </c>
      <c r="K1205" s="141">
        <f t="shared" si="325"/>
        <v>856056.10000000021</v>
      </c>
      <c r="L1205" s="141">
        <f t="shared" si="325"/>
        <v>3044.4200000008004</v>
      </c>
      <c r="M1205" s="141">
        <f t="shared" si="325"/>
        <v>3.9472070056945086E-10</v>
      </c>
      <c r="N1205" s="141">
        <f t="shared" si="325"/>
        <v>621072.78000000096</v>
      </c>
      <c r="O1205" s="141">
        <f t="shared" si="325"/>
        <v>772704.15000000084</v>
      </c>
      <c r="P1205" s="141">
        <f t="shared" si="325"/>
        <v>998459.00000000047</v>
      </c>
      <c r="Q1205" s="39">
        <f t="shared" si="325"/>
        <v>4296935.1399999838</v>
      </c>
      <c r="R1205" s="39">
        <f t="shared" si="325"/>
        <v>3.0122464522719383E-9</v>
      </c>
      <c r="S1205" s="39">
        <f t="shared" si="325"/>
        <v>327400.58999999921</v>
      </c>
      <c r="T1205" s="39">
        <f t="shared" si="325"/>
        <v>3.092281986027956E-11</v>
      </c>
      <c r="U1205" s="39">
        <f t="shared" si="325"/>
        <v>1.0368239600211382E-10</v>
      </c>
      <c r="V1205" s="39">
        <f t="shared" si="325"/>
        <v>0</v>
      </c>
      <c r="W1205" s="140">
        <f t="shared" si="325"/>
        <v>6918685.8899999894</v>
      </c>
      <c r="X1205" s="41">
        <f>W1204+X1202</f>
        <v>587327896.38840568</v>
      </c>
    </row>
    <row r="1206" spans="1:27" ht="12.75" x14ac:dyDescent="0.2">
      <c r="A1206" s="85"/>
      <c r="B1206" s="44"/>
      <c r="C1206" s="44"/>
      <c r="D1206" s="44"/>
      <c r="E1206" s="44"/>
      <c r="F1206" s="44"/>
      <c r="G1206" s="45"/>
      <c r="H1206" s="44"/>
      <c r="I1206" s="44"/>
      <c r="J1206" s="44"/>
      <c r="K1206" s="44"/>
      <c r="L1206" s="44"/>
      <c r="M1206" s="44"/>
      <c r="N1206" s="44"/>
      <c r="O1206" s="44"/>
      <c r="P1206" s="44"/>
      <c r="Q1206" s="45"/>
      <c r="R1206" s="47"/>
      <c r="S1206" s="47"/>
      <c r="T1206" s="47"/>
      <c r="U1206" s="47"/>
      <c r="V1206" s="43"/>
      <c r="W1206" s="86"/>
      <c r="X1206" s="46"/>
    </row>
    <row r="1207" spans="1:27" ht="12.75" x14ac:dyDescent="0.2">
      <c r="A1207" s="82" t="s">
        <v>52</v>
      </c>
      <c r="B1207" s="38">
        <v>0</v>
      </c>
      <c r="C1207" s="38">
        <v>0</v>
      </c>
      <c r="D1207" s="38">
        <v>0</v>
      </c>
      <c r="E1207" s="38">
        <v>0</v>
      </c>
      <c r="F1207" s="38">
        <v>0</v>
      </c>
      <c r="G1207" s="39">
        <f>SUM(B1207:F1207)</f>
        <v>0</v>
      </c>
      <c r="H1207" s="38">
        <v>0</v>
      </c>
      <c r="I1207" s="84">
        <v>0</v>
      </c>
      <c r="J1207" s="84">
        <v>0</v>
      </c>
      <c r="K1207" s="84">
        <v>0</v>
      </c>
      <c r="L1207" s="84">
        <v>0</v>
      </c>
      <c r="M1207" s="84">
        <v>0</v>
      </c>
      <c r="N1207" s="84">
        <v>0</v>
      </c>
      <c r="O1207" s="84">
        <v>0</v>
      </c>
      <c r="P1207" s="84">
        <v>0</v>
      </c>
      <c r="Q1207" s="255">
        <f>SUM(H1207:P1207)</f>
        <v>0</v>
      </c>
      <c r="R1207" s="255">
        <v>0</v>
      </c>
      <c r="S1207" s="255">
        <v>0</v>
      </c>
      <c r="T1207" s="39">
        <v>0</v>
      </c>
      <c r="U1207" s="39">
        <v>0</v>
      </c>
      <c r="V1207" s="39">
        <v>0</v>
      </c>
      <c r="W1207" s="83">
        <f>Q1207+G1207+R1207+S1207+T1207+U1207+V1207</f>
        <v>0</v>
      </c>
      <c r="X1207" s="41"/>
    </row>
    <row r="1208" spans="1:27" ht="12.75" x14ac:dyDescent="0.2">
      <c r="A1208" s="82" t="s">
        <v>42</v>
      </c>
      <c r="B1208" s="141">
        <f t="shared" ref="B1208:W1208" si="326">B1205+B1207-B1159</f>
        <v>8.276401786133647E-11</v>
      </c>
      <c r="C1208" s="141">
        <f t="shared" si="326"/>
        <v>1367239.2199999993</v>
      </c>
      <c r="D1208" s="141">
        <f t="shared" si="326"/>
        <v>-4.3655745685100555E-10</v>
      </c>
      <c r="E1208" s="141">
        <f t="shared" si="326"/>
        <v>884984.47999999986</v>
      </c>
      <c r="F1208" s="141">
        <f t="shared" si="326"/>
        <v>-8.5856299847364426E-10</v>
      </c>
      <c r="G1208" s="39">
        <f t="shared" si="326"/>
        <v>2252223.7000000072</v>
      </c>
      <c r="H1208" s="141">
        <f t="shared" si="326"/>
        <v>1.8226273823529482E-9</v>
      </c>
      <c r="I1208" s="141">
        <f t="shared" si="326"/>
        <v>6.4210325945168734E-10</v>
      </c>
      <c r="J1208" s="141">
        <f t="shared" si="326"/>
        <v>928130.80000000121</v>
      </c>
      <c r="K1208" s="141">
        <f t="shared" si="326"/>
        <v>746370.57000000018</v>
      </c>
      <c r="L1208" s="141">
        <f t="shared" si="326"/>
        <v>3044.4200000008004</v>
      </c>
      <c r="M1208" s="141">
        <f t="shared" si="326"/>
        <v>3.9472070056945086E-10</v>
      </c>
      <c r="N1208" s="141">
        <f t="shared" si="326"/>
        <v>516613.36000000098</v>
      </c>
      <c r="O1208" s="141">
        <f t="shared" si="326"/>
        <v>772704.15000000084</v>
      </c>
      <c r="P1208" s="141">
        <f t="shared" si="326"/>
        <v>788405.24000000046</v>
      </c>
      <c r="Q1208" s="39">
        <f t="shared" si="326"/>
        <v>3755268.5399999837</v>
      </c>
      <c r="R1208" s="39">
        <f t="shared" si="326"/>
        <v>3.0122464522719383E-9</v>
      </c>
      <c r="S1208" s="39">
        <f t="shared" si="326"/>
        <v>327400.58999999921</v>
      </c>
      <c r="T1208" s="39">
        <f t="shared" si="326"/>
        <v>3.092281986027956E-11</v>
      </c>
      <c r="U1208" s="39">
        <f t="shared" si="326"/>
        <v>1.0368239600211382E-10</v>
      </c>
      <c r="V1208" s="39">
        <f t="shared" si="326"/>
        <v>0</v>
      </c>
      <c r="W1208" s="140">
        <f t="shared" si="326"/>
        <v>6334892.8299999898</v>
      </c>
      <c r="X1208" s="41">
        <f>W1207+X1205</f>
        <v>587327896.38840568</v>
      </c>
    </row>
    <row r="1209" spans="1:27" ht="12.75" x14ac:dyDescent="0.2">
      <c r="A1209" s="85"/>
      <c r="B1209" s="43"/>
      <c r="C1209" s="43"/>
      <c r="D1209" s="43"/>
      <c r="E1209" s="43"/>
      <c r="F1209" s="43"/>
      <c r="G1209" s="47"/>
      <c r="H1209" s="43"/>
      <c r="I1209" s="43"/>
      <c r="J1209" s="43"/>
      <c r="K1209" s="43"/>
      <c r="L1209" s="43"/>
      <c r="M1209" s="43"/>
      <c r="N1209" s="43"/>
      <c r="O1209" s="43"/>
      <c r="P1209" s="43"/>
      <c r="Q1209" s="47"/>
      <c r="R1209" s="47"/>
      <c r="S1209" s="47"/>
      <c r="T1209" s="47"/>
      <c r="U1209" s="47"/>
      <c r="V1209" s="43"/>
      <c r="W1209" s="87"/>
      <c r="X1209" s="46"/>
    </row>
    <row r="1210" spans="1:27" ht="12.75" x14ac:dyDescent="0.2">
      <c r="A1210" s="82" t="s">
        <v>53</v>
      </c>
      <c r="B1210" s="38">
        <v>0</v>
      </c>
      <c r="C1210" s="38">
        <v>0</v>
      </c>
      <c r="D1210" s="38">
        <v>0</v>
      </c>
      <c r="E1210" s="38">
        <v>0</v>
      </c>
      <c r="F1210" s="38">
        <v>0</v>
      </c>
      <c r="G1210" s="39">
        <f>SUM(B1210:F1210)</f>
        <v>0</v>
      </c>
      <c r="H1210" s="38">
        <v>0</v>
      </c>
      <c r="I1210" s="84">
        <v>0</v>
      </c>
      <c r="J1210" s="84">
        <v>0</v>
      </c>
      <c r="K1210" s="84">
        <v>0</v>
      </c>
      <c r="L1210" s="84">
        <v>0</v>
      </c>
      <c r="M1210" s="84">
        <v>0</v>
      </c>
      <c r="N1210" s="84">
        <v>0</v>
      </c>
      <c r="O1210" s="84">
        <v>0</v>
      </c>
      <c r="P1210" s="84">
        <v>0</v>
      </c>
      <c r="Q1210" s="255">
        <f>SUM(H1210:P1210)</f>
        <v>0</v>
      </c>
      <c r="R1210" s="255">
        <v>0</v>
      </c>
      <c r="S1210" s="255">
        <v>0</v>
      </c>
      <c r="T1210" s="39">
        <v>0</v>
      </c>
      <c r="U1210" s="39">
        <v>0</v>
      </c>
      <c r="V1210" s="39">
        <v>0</v>
      </c>
      <c r="W1210" s="83">
        <f>Q1210+G1210+R1210+S1210+T1210+U1210+V1210</f>
        <v>0</v>
      </c>
      <c r="X1210" s="41"/>
    </row>
    <row r="1211" spans="1:27" ht="13.5" thickBot="1" x14ac:dyDescent="0.25">
      <c r="A1211" s="88" t="s">
        <v>42</v>
      </c>
      <c r="B1211" s="143">
        <f t="shared" ref="B1211:W1211" si="327">B1208+B1210-B1162</f>
        <v>8.276401786133647E-11</v>
      </c>
      <c r="C1211" s="143">
        <f t="shared" si="327"/>
        <v>1360961.0699999994</v>
      </c>
      <c r="D1211" s="143">
        <f t="shared" si="327"/>
        <v>-4.3655745685100555E-10</v>
      </c>
      <c r="E1211" s="143">
        <f t="shared" si="327"/>
        <v>884984.47999999986</v>
      </c>
      <c r="F1211" s="143">
        <f t="shared" si="327"/>
        <v>-8.5856299847364426E-10</v>
      </c>
      <c r="G1211" s="50">
        <f t="shared" si="327"/>
        <v>2245945.5500000073</v>
      </c>
      <c r="H1211" s="143">
        <f t="shared" si="327"/>
        <v>1.8226273823529482E-9</v>
      </c>
      <c r="I1211" s="143">
        <f t="shared" si="327"/>
        <v>6.4210325945168734E-10</v>
      </c>
      <c r="J1211" s="143">
        <f t="shared" si="327"/>
        <v>843255.27000000118</v>
      </c>
      <c r="K1211" s="143">
        <f t="shared" si="327"/>
        <v>661610.8400000002</v>
      </c>
      <c r="L1211" s="198">
        <f t="shared" si="327"/>
        <v>3044.4200000008004</v>
      </c>
      <c r="M1211" s="143">
        <f t="shared" si="327"/>
        <v>3.9472070056945086E-10</v>
      </c>
      <c r="N1211" s="143">
        <f t="shared" si="327"/>
        <v>516613.36000000098</v>
      </c>
      <c r="O1211" s="143">
        <f t="shared" si="327"/>
        <v>670396.44000000088</v>
      </c>
      <c r="P1211" s="143">
        <f t="shared" si="327"/>
        <v>783713.15000000049</v>
      </c>
      <c r="Q1211" s="50">
        <f t="shared" si="327"/>
        <v>3478633.4799999837</v>
      </c>
      <c r="R1211" s="50">
        <f t="shared" si="327"/>
        <v>3.0122464522719383E-9</v>
      </c>
      <c r="S1211" s="50">
        <f t="shared" si="327"/>
        <v>327400.58999999921</v>
      </c>
      <c r="T1211" s="50">
        <f t="shared" si="327"/>
        <v>3.092281986027956E-11</v>
      </c>
      <c r="U1211" s="50">
        <f t="shared" si="327"/>
        <v>1.0368239600211382E-10</v>
      </c>
      <c r="V1211" s="50">
        <f t="shared" si="327"/>
        <v>0</v>
      </c>
      <c r="W1211" s="144">
        <f t="shared" si="327"/>
        <v>6051979.6199999899</v>
      </c>
      <c r="X1211" s="51">
        <f>W1210+X1208</f>
        <v>587327896.38840568</v>
      </c>
    </row>
    <row r="1212" spans="1:27" ht="12.75" x14ac:dyDescent="0.2">
      <c r="B1212" s="52" t="s">
        <v>221</v>
      </c>
      <c r="C1212" s="90"/>
      <c r="D1212" s="90"/>
      <c r="E1212" s="90"/>
      <c r="F1212" s="90"/>
      <c r="G1212" s="90"/>
      <c r="I1212" s="90"/>
      <c r="J1212" s="90"/>
      <c r="K1212" s="90"/>
      <c r="L1212" s="90"/>
      <c r="M1212" s="90"/>
      <c r="N1212" s="90"/>
      <c r="O1212" s="171"/>
      <c r="P1212" s="90"/>
      <c r="Q1212" s="282" t="s">
        <v>253</v>
      </c>
      <c r="S1212" s="52"/>
      <c r="T1212" s="52"/>
      <c r="U1212" s="52"/>
    </row>
    <row r="1213" spans="1:27" ht="12.75" x14ac:dyDescent="0.2">
      <c r="B1213" s="281"/>
      <c r="C1213" s="137" t="s">
        <v>229</v>
      </c>
      <c r="L1213" s="1" t="s">
        <v>246</v>
      </c>
      <c r="M1213" s="1" t="s">
        <v>225</v>
      </c>
      <c r="P1213" t="s">
        <v>122</v>
      </c>
    </row>
    <row r="1214" spans="1:27" ht="12" x14ac:dyDescent="0.2">
      <c r="B1214" s="274" t="s">
        <v>60</v>
      </c>
      <c r="C1214" s="274"/>
      <c r="D1214" s="274"/>
      <c r="E1214" s="274"/>
      <c r="F1214" s="274"/>
      <c r="G1214" s="274"/>
      <c r="H1214" s="274"/>
      <c r="I1214" s="274"/>
      <c r="J1214" s="274"/>
      <c r="L1214" s="302">
        <f>I1211+J1211+K1211+O1211+S1211</f>
        <v>2502663.1400000025</v>
      </c>
      <c r="M1214" s="275">
        <f>L1211+M1211+N1211+P1211</f>
        <v>1303370.9300000027</v>
      </c>
    </row>
    <row r="1215" spans="1:27" x14ac:dyDescent="0.2">
      <c r="B1215" s="286"/>
      <c r="C1215" s="137" t="s">
        <v>231</v>
      </c>
      <c r="H1215" s="220">
        <f>H1147+H1150+H1153+H1156+H1159+H1162+H1177+H1180+H1183+H1186+H1189+H1192</f>
        <v>0</v>
      </c>
      <c r="I1215" s="220">
        <f t="shared" ref="I1215:O1215" si="328">I1147+I1150+I1153+I1156+I1159+I1162+I1177+I1180+I1183+I1186+I1189+I1192</f>
        <v>0</v>
      </c>
      <c r="J1215" s="220">
        <f t="shared" si="328"/>
        <v>996671.61999999988</v>
      </c>
      <c r="K1215" s="220">
        <f t="shared" si="328"/>
        <v>748635</v>
      </c>
      <c r="L1215" s="220">
        <f t="shared" si="328"/>
        <v>0</v>
      </c>
      <c r="M1215" s="220">
        <f t="shared" si="328"/>
        <v>0</v>
      </c>
      <c r="N1215" s="220">
        <f t="shared" si="328"/>
        <v>606935.34</v>
      </c>
      <c r="O1215" s="220">
        <f t="shared" si="328"/>
        <v>338827.13000000006</v>
      </c>
      <c r="P1215" s="220">
        <f>P1147+P1150+P1153+P1156+P1159+P1162+P1177+P1180+P1183+P1186+P1189+P1192</f>
        <v>1561958.6800000002</v>
      </c>
    </row>
  </sheetData>
  <sheetProtection password="E2F7" sheet="1" objects="1" scenarios="1"/>
  <phoneticPr fontId="0" type="noConversion"/>
  <printOptions horizontalCentered="1" verticalCentered="1"/>
  <pageMargins left="0" right="0" top="0" bottom="0" header="0" footer="0"/>
  <pageSetup scale="53" orientation="landscape" horizontalDpi="800" verticalDpi="800" r:id="rId1"/>
  <headerFooter alignWithMargins="0">
    <oddHeader>&amp;A</oddHead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311"/>
  <sheetViews>
    <sheetView tabSelected="1" topLeftCell="B1261" workbookViewId="0">
      <selection activeCell="U1267" sqref="U1267"/>
    </sheetView>
  </sheetViews>
  <sheetFormatPr defaultRowHeight="12.75" x14ac:dyDescent="0.2"/>
  <cols>
    <col min="1" max="1" width="7.1640625" customWidth="1"/>
    <col min="2" max="2" width="11.5" customWidth="1"/>
    <col min="3" max="4" width="12.1640625" customWidth="1"/>
    <col min="5" max="5" width="11.1640625" customWidth="1"/>
    <col min="6" max="6" width="11.5" customWidth="1"/>
    <col min="7" max="7" width="12" customWidth="1"/>
    <col min="8" max="8" width="2" customWidth="1"/>
    <col min="9" max="9" width="11.83203125" customWidth="1"/>
    <col min="10" max="11" width="11.5" customWidth="1"/>
    <col min="12" max="12" width="10.83203125" customWidth="1"/>
    <col min="13" max="13" width="11.5" customWidth="1"/>
    <col min="14" max="14" width="10.5" customWidth="1"/>
    <col min="15" max="15" width="11.33203125" customWidth="1"/>
    <col min="16" max="16" width="12.83203125" customWidth="1"/>
    <col min="17" max="17" width="11.6640625" customWidth="1"/>
    <col min="18" max="22" width="12.83203125" customWidth="1"/>
    <col min="23" max="23" width="12.33203125" customWidth="1"/>
    <col min="24" max="24" width="15" customWidth="1"/>
    <col min="25" max="25" width="12.5" bestFit="1" customWidth="1"/>
    <col min="26" max="26" width="18.83203125" bestFit="1" customWidth="1"/>
    <col min="28" max="28" width="11.83203125" bestFit="1" customWidth="1"/>
  </cols>
  <sheetData>
    <row r="1" spans="1:23" ht="22.5" x14ac:dyDescent="0.3">
      <c r="A1" s="93" t="s">
        <v>88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</row>
    <row r="2" spans="1:23" x14ac:dyDescent="0.2">
      <c r="A2" s="95"/>
      <c r="B2" s="54"/>
      <c r="C2" s="54"/>
      <c r="D2" s="95"/>
      <c r="E2" s="96"/>
      <c r="F2" s="97"/>
      <c r="G2" s="55"/>
      <c r="H2" s="55"/>
      <c r="I2" s="55"/>
      <c r="J2" s="54"/>
      <c r="K2" s="56"/>
      <c r="L2" s="57"/>
      <c r="M2" s="54"/>
      <c r="N2" s="54" t="s">
        <v>60</v>
      </c>
      <c r="O2" s="54"/>
      <c r="P2" s="54"/>
      <c r="Q2" s="57"/>
      <c r="R2" s="58"/>
      <c r="S2" s="54"/>
      <c r="T2" s="54"/>
      <c r="U2" s="54"/>
      <c r="V2" s="54"/>
      <c r="W2" s="54"/>
    </row>
    <row r="3" spans="1:23" ht="20.25" x14ac:dyDescent="0.3">
      <c r="A3" s="98" t="s">
        <v>89</v>
      </c>
      <c r="B3" s="54"/>
      <c r="C3" s="54"/>
      <c r="D3" s="54"/>
      <c r="E3" s="54"/>
      <c r="F3" s="54"/>
      <c r="G3" s="54"/>
      <c r="H3" s="54"/>
      <c r="I3" s="99"/>
      <c r="J3" s="99"/>
      <c r="K3" s="99"/>
      <c r="L3" s="54"/>
      <c r="M3" s="54"/>
      <c r="N3" s="54" t="s">
        <v>60</v>
      </c>
      <c r="O3" s="54"/>
      <c r="P3" s="54"/>
      <c r="Q3" s="57"/>
      <c r="R3" s="58"/>
      <c r="S3" s="57">
        <f ca="1">NOW()</f>
        <v>42312.648458217591</v>
      </c>
      <c r="T3" s="57"/>
      <c r="U3" s="57"/>
      <c r="V3" s="57"/>
      <c r="W3" s="56">
        <f ca="1">NOW()</f>
        <v>42312.648458217591</v>
      </c>
    </row>
    <row r="4" spans="1:23" ht="13.5" thickBot="1" x14ac:dyDescent="0.25">
      <c r="A4" s="1"/>
      <c r="B4" s="2"/>
      <c r="C4" s="2"/>
      <c r="D4" s="2"/>
      <c r="E4" s="2"/>
      <c r="F4" s="100"/>
      <c r="G4" s="2"/>
      <c r="H4" s="2"/>
      <c r="I4" s="2"/>
      <c r="J4" s="2"/>
      <c r="K4" s="2"/>
      <c r="L4" s="2"/>
      <c r="M4" s="2"/>
      <c r="N4" s="2"/>
      <c r="O4" s="2"/>
      <c r="P4" s="2"/>
      <c r="Q4" s="2" t="s">
        <v>60</v>
      </c>
      <c r="R4" s="1"/>
      <c r="S4" s="2"/>
      <c r="T4" s="2"/>
      <c r="U4" s="2"/>
      <c r="V4" s="2"/>
      <c r="W4" s="57"/>
    </row>
    <row r="5" spans="1:23" x14ac:dyDescent="0.2">
      <c r="A5" s="14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6"/>
      <c r="S5" s="15"/>
      <c r="T5" s="15"/>
      <c r="U5" s="15"/>
      <c r="V5" s="15"/>
      <c r="W5" s="60" t="s">
        <v>60</v>
      </c>
    </row>
    <row r="6" spans="1:23" ht="13.5" thickBot="1" x14ac:dyDescent="0.25">
      <c r="A6" s="18"/>
      <c r="B6" s="101"/>
      <c r="C6" s="62"/>
      <c r="D6" s="102" t="s">
        <v>73</v>
      </c>
      <c r="E6" s="64"/>
      <c r="F6" s="64"/>
      <c r="G6" s="64"/>
      <c r="H6" s="101"/>
      <c r="I6" s="64"/>
      <c r="J6" s="64"/>
      <c r="K6" s="103" t="s">
        <v>74</v>
      </c>
      <c r="L6" s="64"/>
      <c r="M6" s="64"/>
      <c r="N6" s="64"/>
      <c r="O6" s="64"/>
      <c r="P6" s="64"/>
      <c r="Q6" s="66"/>
      <c r="R6" s="64"/>
      <c r="S6" s="66"/>
      <c r="T6" s="66"/>
      <c r="U6" s="66"/>
      <c r="V6" s="66"/>
      <c r="W6" s="36" t="s">
        <v>60</v>
      </c>
    </row>
    <row r="7" spans="1:23" x14ac:dyDescent="0.2">
      <c r="A7" s="14"/>
      <c r="B7" s="23" t="s">
        <v>11</v>
      </c>
      <c r="C7" s="23" t="s">
        <v>12</v>
      </c>
      <c r="D7" s="23" t="s">
        <v>13</v>
      </c>
      <c r="E7" s="23" t="s">
        <v>14</v>
      </c>
      <c r="F7" s="23" t="s">
        <v>15</v>
      </c>
      <c r="G7" s="24" t="s">
        <v>16</v>
      </c>
      <c r="H7" s="23" t="s">
        <v>17</v>
      </c>
      <c r="I7" s="25"/>
      <c r="J7" s="25"/>
      <c r="K7" s="25"/>
      <c r="L7" s="25"/>
      <c r="M7" s="23" t="s">
        <v>18</v>
      </c>
      <c r="N7" s="23" t="s">
        <v>19</v>
      </c>
      <c r="O7" s="23" t="s">
        <v>20</v>
      </c>
      <c r="P7" s="23" t="s">
        <v>21</v>
      </c>
      <c r="Q7" s="24" t="s">
        <v>16</v>
      </c>
      <c r="R7" s="26" t="s">
        <v>69</v>
      </c>
      <c r="S7" s="104" t="s">
        <v>7</v>
      </c>
      <c r="T7" s="23"/>
      <c r="U7" s="23"/>
      <c r="V7" s="23"/>
      <c r="W7" s="27" t="s">
        <v>70</v>
      </c>
    </row>
    <row r="8" spans="1:23" ht="13.5" thickBot="1" x14ac:dyDescent="0.25">
      <c r="A8" s="28"/>
      <c r="B8" s="29" t="s">
        <v>23</v>
      </c>
      <c r="C8" s="29" t="s">
        <v>24</v>
      </c>
      <c r="D8" s="29" t="s">
        <v>25</v>
      </c>
      <c r="E8" s="29" t="s">
        <v>26</v>
      </c>
      <c r="F8" s="29" t="s">
        <v>27</v>
      </c>
      <c r="G8" s="30" t="s">
        <v>28</v>
      </c>
      <c r="H8" s="29" t="s">
        <v>29</v>
      </c>
      <c r="I8" s="29" t="s">
        <v>30</v>
      </c>
      <c r="J8" s="29" t="s">
        <v>31</v>
      </c>
      <c r="K8" s="29" t="s">
        <v>32</v>
      </c>
      <c r="L8" s="29" t="s">
        <v>33</v>
      </c>
      <c r="M8" s="29" t="s">
        <v>34</v>
      </c>
      <c r="N8" s="29" t="s">
        <v>35</v>
      </c>
      <c r="O8" s="29" t="s">
        <v>36</v>
      </c>
      <c r="P8" s="29" t="s">
        <v>37</v>
      </c>
      <c r="Q8" s="30" t="s">
        <v>28</v>
      </c>
      <c r="R8" s="31" t="s">
        <v>62</v>
      </c>
      <c r="S8" s="105" t="s">
        <v>10</v>
      </c>
      <c r="T8" s="29"/>
      <c r="U8" s="29"/>
      <c r="V8" s="29"/>
      <c r="W8" s="106" t="s">
        <v>71</v>
      </c>
    </row>
    <row r="9" spans="1:23" x14ac:dyDescent="0.2">
      <c r="A9" s="18"/>
      <c r="B9" s="33"/>
      <c r="C9" s="33"/>
      <c r="D9" s="33"/>
      <c r="E9" s="33"/>
      <c r="F9" s="33"/>
      <c r="G9" s="34"/>
      <c r="H9" s="33"/>
      <c r="I9" s="33"/>
      <c r="J9" s="33"/>
      <c r="K9" s="33"/>
      <c r="L9" s="33"/>
      <c r="M9" s="33"/>
      <c r="N9" s="33"/>
      <c r="O9" s="33"/>
      <c r="P9" s="33"/>
      <c r="Q9" s="34"/>
      <c r="R9" s="35"/>
      <c r="S9" s="81"/>
      <c r="T9" s="33"/>
      <c r="U9" s="33"/>
      <c r="V9" s="33"/>
      <c r="W9" s="36"/>
    </row>
    <row r="10" spans="1:23" x14ac:dyDescent="0.2">
      <c r="A10" s="37" t="s">
        <v>41</v>
      </c>
      <c r="B10" s="44">
        <v>254400</v>
      </c>
      <c r="C10" s="44">
        <v>3210000</v>
      </c>
      <c r="D10" s="44">
        <v>1512000</v>
      </c>
      <c r="E10" s="44">
        <v>351000</v>
      </c>
      <c r="F10" s="44">
        <v>1182000</v>
      </c>
      <c r="G10" s="44">
        <f>SUM(B10:F10)</f>
        <v>6509400</v>
      </c>
      <c r="H10" s="44">
        <v>1452000</v>
      </c>
      <c r="I10" s="44" t="s">
        <v>90</v>
      </c>
      <c r="J10" s="44">
        <v>0</v>
      </c>
      <c r="K10" s="44">
        <v>1647000</v>
      </c>
      <c r="L10" s="44">
        <v>0</v>
      </c>
      <c r="M10" s="44">
        <v>0</v>
      </c>
      <c r="N10" s="44">
        <v>825000</v>
      </c>
      <c r="O10" s="44">
        <v>3204000</v>
      </c>
      <c r="P10" s="44">
        <v>0</v>
      </c>
      <c r="Q10" s="44">
        <f>SUM(H10:P10)</f>
        <v>7128000</v>
      </c>
      <c r="R10" s="44">
        <v>0</v>
      </c>
      <c r="S10" s="44">
        <f>Q10+G10+R10</f>
        <v>13637400</v>
      </c>
      <c r="T10" s="44"/>
      <c r="U10" s="44"/>
      <c r="V10" s="44"/>
      <c r="W10" s="44"/>
    </row>
    <row r="11" spans="1:23" x14ac:dyDescent="0.2">
      <c r="A11" s="37" t="s">
        <v>42</v>
      </c>
      <c r="B11" s="44">
        <f>1584000+B10</f>
        <v>1838400</v>
      </c>
      <c r="C11" s="44">
        <f>37442136+C10</f>
        <v>40652136</v>
      </c>
      <c r="D11" s="44">
        <f>44461336+D10</f>
        <v>45973336</v>
      </c>
      <c r="E11" s="44">
        <f>29484352+E10</f>
        <v>29835352</v>
      </c>
      <c r="F11" s="44">
        <f>30917495+F10</f>
        <v>32099495</v>
      </c>
      <c r="G11" s="44">
        <f>143889319+G10</f>
        <v>150398719</v>
      </c>
      <c r="H11" s="44">
        <f>21615141+H10</f>
        <v>23067141</v>
      </c>
      <c r="I11" s="44" t="e">
        <f>10197000+I10</f>
        <v>#VALUE!</v>
      </c>
      <c r="J11" s="44">
        <f>20298000+J10</f>
        <v>20298000</v>
      </c>
      <c r="K11" s="38">
        <f>20274000+K10</f>
        <v>21921000</v>
      </c>
      <c r="L11" s="38">
        <f>13194000+L10</f>
        <v>13194000</v>
      </c>
      <c r="M11" s="38">
        <f>7336000+M10</f>
        <v>7336000</v>
      </c>
      <c r="N11" s="38">
        <f>13968000+N10</f>
        <v>14793000</v>
      </c>
      <c r="O11" s="38">
        <f>31536000+O10</f>
        <v>34740000</v>
      </c>
      <c r="P11" s="38">
        <f>1980000+P10</f>
        <v>1980000</v>
      </c>
      <c r="Q11" s="39">
        <f>140398141+Q10</f>
        <v>147526141</v>
      </c>
      <c r="R11" s="38">
        <f>34382000+R12</f>
        <v>34382000</v>
      </c>
      <c r="S11" s="86">
        <f>318669460+S10</f>
        <v>332306860</v>
      </c>
      <c r="T11" s="44"/>
      <c r="U11" s="44"/>
      <c r="V11" s="44"/>
      <c r="W11" s="46">
        <f>4679904856+S10</f>
        <v>4693542256</v>
      </c>
    </row>
    <row r="12" spans="1:23" x14ac:dyDescent="0.2">
      <c r="A12" s="42"/>
      <c r="B12" s="44"/>
      <c r="C12" s="44"/>
      <c r="D12" s="44"/>
      <c r="E12" s="44"/>
      <c r="F12" s="44"/>
      <c r="G12" s="44"/>
      <c r="H12" s="38"/>
      <c r="I12" s="38"/>
      <c r="J12" s="38"/>
      <c r="K12" s="38"/>
      <c r="L12" s="38"/>
      <c r="M12" s="38"/>
      <c r="N12" s="38"/>
      <c r="O12" s="38"/>
      <c r="P12" s="38"/>
      <c r="Q12" s="39" t="s">
        <v>60</v>
      </c>
      <c r="R12" s="43"/>
      <c r="S12" s="83"/>
      <c r="T12" s="38"/>
      <c r="U12" s="38"/>
      <c r="V12" s="38"/>
      <c r="W12" s="41"/>
    </row>
    <row r="13" spans="1:23" x14ac:dyDescent="0.2">
      <c r="A13" s="37" t="s">
        <v>43</v>
      </c>
      <c r="B13" s="44">
        <v>0</v>
      </c>
      <c r="C13" s="44">
        <v>0</v>
      </c>
      <c r="D13" s="44">
        <v>0</v>
      </c>
      <c r="E13" s="44">
        <v>0</v>
      </c>
      <c r="F13" s="44">
        <v>0</v>
      </c>
      <c r="G13" s="44">
        <v>0</v>
      </c>
      <c r="H13" s="38">
        <v>0</v>
      </c>
      <c r="I13" s="38">
        <v>0</v>
      </c>
      <c r="J13" s="38">
        <v>57402.22</v>
      </c>
      <c r="K13" s="38">
        <v>56786.879999999997</v>
      </c>
      <c r="L13" s="38">
        <v>0</v>
      </c>
      <c r="M13" s="38">
        <v>3549.59</v>
      </c>
      <c r="N13" s="38">
        <v>0</v>
      </c>
      <c r="O13" s="38">
        <v>102561.96</v>
      </c>
      <c r="P13" s="38">
        <v>0</v>
      </c>
      <c r="Q13" s="39">
        <f>SUM(H13:P13)</f>
        <v>220300.65000000002</v>
      </c>
      <c r="R13" s="40">
        <v>0</v>
      </c>
      <c r="S13" s="83">
        <f>Q13+G13+R13</f>
        <v>220300.65000000002</v>
      </c>
      <c r="T13" s="38"/>
      <c r="U13" s="38"/>
      <c r="V13" s="38"/>
      <c r="W13" s="41"/>
    </row>
    <row r="14" spans="1:23" x14ac:dyDescent="0.2">
      <c r="A14" s="37" t="s">
        <v>42</v>
      </c>
      <c r="B14" s="44">
        <f>B11+B13</f>
        <v>1838400</v>
      </c>
      <c r="C14" s="44" t="e">
        <f t="shared" ref="C14:R14" si="0">C11+C13-#REF!</f>
        <v>#REF!</v>
      </c>
      <c r="D14" s="44" t="e">
        <f t="shared" si="0"/>
        <v>#REF!</v>
      </c>
      <c r="E14" s="44" t="e">
        <f t="shared" si="0"/>
        <v>#REF!</v>
      </c>
      <c r="F14" s="44" t="e">
        <f t="shared" si="0"/>
        <v>#REF!</v>
      </c>
      <c r="G14" s="44" t="e">
        <f t="shared" si="0"/>
        <v>#REF!</v>
      </c>
      <c r="H14" s="38" t="e">
        <f t="shared" si="0"/>
        <v>#REF!</v>
      </c>
      <c r="I14" s="38" t="e">
        <f t="shared" si="0"/>
        <v>#VALUE!</v>
      </c>
      <c r="J14" s="38" t="e">
        <f t="shared" si="0"/>
        <v>#REF!</v>
      </c>
      <c r="K14" s="38" t="e">
        <f t="shared" si="0"/>
        <v>#REF!</v>
      </c>
      <c r="L14" s="38" t="e">
        <f t="shared" si="0"/>
        <v>#REF!</v>
      </c>
      <c r="M14" s="38" t="e">
        <f t="shared" si="0"/>
        <v>#REF!</v>
      </c>
      <c r="N14" s="38" t="e">
        <f t="shared" si="0"/>
        <v>#REF!</v>
      </c>
      <c r="O14" s="38" t="e">
        <f t="shared" si="0"/>
        <v>#REF!</v>
      </c>
      <c r="P14" s="38" t="e">
        <f t="shared" si="0"/>
        <v>#REF!</v>
      </c>
      <c r="Q14" s="39" t="e">
        <f t="shared" si="0"/>
        <v>#REF!</v>
      </c>
      <c r="R14" s="38" t="e">
        <f t="shared" si="0"/>
        <v>#REF!</v>
      </c>
      <c r="S14" s="83" t="e">
        <f>S11+S13-#REF!</f>
        <v>#REF!</v>
      </c>
      <c r="T14" s="38"/>
      <c r="U14" s="38"/>
      <c r="V14" s="38"/>
      <c r="W14" s="41">
        <f>S13+W11</f>
        <v>4693762556.6499996</v>
      </c>
    </row>
    <row r="15" spans="1:23" x14ac:dyDescent="0.2">
      <c r="A15" s="42"/>
      <c r="B15" s="44"/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5"/>
      <c r="R15" s="43"/>
      <c r="S15" s="86"/>
      <c r="T15" s="44"/>
      <c r="U15" s="44"/>
      <c r="V15" s="44"/>
      <c r="W15" s="46"/>
    </row>
    <row r="16" spans="1:23" x14ac:dyDescent="0.2">
      <c r="A16" s="37" t="s">
        <v>44</v>
      </c>
      <c r="B16" s="44">
        <v>0</v>
      </c>
      <c r="C16" s="44">
        <v>103107.42</v>
      </c>
      <c r="D16" s="44">
        <v>128080.68</v>
      </c>
      <c r="E16" s="44">
        <v>0</v>
      </c>
      <c r="F16" s="44">
        <v>122640.96000000001</v>
      </c>
      <c r="G16" s="44">
        <f>SUM(B16:F16)</f>
        <v>353829.06</v>
      </c>
      <c r="H16" s="38">
        <v>73723.16</v>
      </c>
      <c r="I16" s="38">
        <v>422.1</v>
      </c>
      <c r="J16" s="38">
        <v>46871.24</v>
      </c>
      <c r="K16" s="38">
        <v>67616.070000000007</v>
      </c>
      <c r="L16" s="38">
        <v>0</v>
      </c>
      <c r="M16" s="38">
        <v>19226.169999999998</v>
      </c>
      <c r="N16" s="38">
        <v>33749.29</v>
      </c>
      <c r="O16" s="38">
        <v>129929.77</v>
      </c>
      <c r="P16" s="38">
        <v>0</v>
      </c>
      <c r="Q16" s="39">
        <f>SUM(H16:P16)</f>
        <v>371537.8</v>
      </c>
      <c r="R16" s="40">
        <v>0</v>
      </c>
      <c r="S16" s="83">
        <f>Q16+G16+R16</f>
        <v>725366.86</v>
      </c>
      <c r="T16" s="38"/>
      <c r="U16" s="38"/>
      <c r="V16" s="38"/>
      <c r="W16" s="41"/>
    </row>
    <row r="17" spans="1:23" x14ac:dyDescent="0.2">
      <c r="A17" s="37" t="s">
        <v>42</v>
      </c>
      <c r="B17" s="44">
        <f>B14+B16</f>
        <v>1838400</v>
      </c>
      <c r="C17" s="44" t="e">
        <f t="shared" ref="C17:R17" si="1">C14+C16-#REF!</f>
        <v>#REF!</v>
      </c>
      <c r="D17" s="44" t="e">
        <f t="shared" si="1"/>
        <v>#REF!</v>
      </c>
      <c r="E17" s="44" t="e">
        <f t="shared" si="1"/>
        <v>#REF!</v>
      </c>
      <c r="F17" s="44" t="e">
        <f t="shared" si="1"/>
        <v>#REF!</v>
      </c>
      <c r="G17" s="44" t="e">
        <f t="shared" si="1"/>
        <v>#REF!</v>
      </c>
      <c r="H17" s="38" t="e">
        <f t="shared" si="1"/>
        <v>#REF!</v>
      </c>
      <c r="I17" s="38" t="e">
        <f t="shared" si="1"/>
        <v>#VALUE!</v>
      </c>
      <c r="J17" s="38" t="e">
        <f t="shared" si="1"/>
        <v>#REF!</v>
      </c>
      <c r="K17" s="38" t="e">
        <f t="shared" si="1"/>
        <v>#REF!</v>
      </c>
      <c r="L17" s="38" t="e">
        <f t="shared" si="1"/>
        <v>#REF!</v>
      </c>
      <c r="M17" s="38" t="e">
        <f t="shared" si="1"/>
        <v>#REF!</v>
      </c>
      <c r="N17" s="38" t="e">
        <f t="shared" si="1"/>
        <v>#REF!</v>
      </c>
      <c r="O17" s="38" t="e">
        <f t="shared" si="1"/>
        <v>#REF!</v>
      </c>
      <c r="P17" s="38" t="e">
        <f t="shared" si="1"/>
        <v>#REF!</v>
      </c>
      <c r="Q17" s="39" t="e">
        <f t="shared" si="1"/>
        <v>#REF!</v>
      </c>
      <c r="R17" s="38" t="e">
        <f t="shared" si="1"/>
        <v>#REF!</v>
      </c>
      <c r="S17" s="83" t="e">
        <f>S14+S16-#REF!</f>
        <v>#REF!</v>
      </c>
      <c r="T17" s="38"/>
      <c r="U17" s="38"/>
      <c r="V17" s="38"/>
      <c r="W17" s="41">
        <f>S16+W14</f>
        <v>4694487923.5099993</v>
      </c>
    </row>
    <row r="18" spans="1:23" x14ac:dyDescent="0.2">
      <c r="A18" s="42"/>
      <c r="B18" s="44"/>
      <c r="C18" s="44"/>
      <c r="D18" s="44"/>
      <c r="E18" s="44"/>
      <c r="F18" s="44"/>
      <c r="G18" s="44"/>
      <c r="H18" s="43"/>
      <c r="I18" s="43"/>
      <c r="J18" s="43"/>
      <c r="K18" s="43"/>
      <c r="L18" s="43"/>
      <c r="M18" s="43"/>
      <c r="N18" s="43"/>
      <c r="O18" s="43"/>
      <c r="P18" s="43"/>
      <c r="Q18" s="47"/>
      <c r="R18" s="43"/>
      <c r="S18" s="87"/>
      <c r="T18" s="43"/>
      <c r="U18" s="43"/>
      <c r="V18" s="43"/>
      <c r="W18" s="46"/>
    </row>
    <row r="19" spans="1:23" x14ac:dyDescent="0.2">
      <c r="A19" s="37" t="s">
        <v>45</v>
      </c>
      <c r="B19" s="44">
        <v>0</v>
      </c>
      <c r="C19" s="44">
        <v>124619.04</v>
      </c>
      <c r="D19" s="44">
        <v>144894.35999999999</v>
      </c>
      <c r="E19" s="44"/>
      <c r="F19" s="44"/>
      <c r="G19" s="44">
        <f>SUM(B19:F19)</f>
        <v>269513.39999999997</v>
      </c>
      <c r="H19" s="38"/>
      <c r="I19" s="38"/>
      <c r="J19" s="38"/>
      <c r="K19" s="38"/>
      <c r="L19" s="38"/>
      <c r="M19" s="38"/>
      <c r="N19" s="38"/>
      <c r="O19" s="38"/>
      <c r="P19" s="38"/>
      <c r="Q19" s="39">
        <f>SUM(H19:P19)</f>
        <v>0</v>
      </c>
      <c r="R19" s="38"/>
      <c r="S19" s="83">
        <f>Q19+G19+R19</f>
        <v>269513.39999999997</v>
      </c>
      <c r="T19" s="38"/>
      <c r="U19" s="38"/>
      <c r="V19" s="38"/>
      <c r="W19" s="41"/>
    </row>
    <row r="20" spans="1:23" x14ac:dyDescent="0.2">
      <c r="A20" s="37" t="s">
        <v>42</v>
      </c>
      <c r="B20" s="44">
        <f>B17+B19</f>
        <v>1838400</v>
      </c>
      <c r="C20" s="44" t="e">
        <f t="shared" ref="C20:R20" si="2">C17+C19-#REF!</f>
        <v>#REF!</v>
      </c>
      <c r="D20" s="44" t="e">
        <f t="shared" si="2"/>
        <v>#REF!</v>
      </c>
      <c r="E20" s="44" t="e">
        <f t="shared" si="2"/>
        <v>#REF!</v>
      </c>
      <c r="F20" s="44" t="e">
        <f t="shared" si="2"/>
        <v>#REF!</v>
      </c>
      <c r="G20" s="44" t="e">
        <f t="shared" si="2"/>
        <v>#REF!</v>
      </c>
      <c r="H20" s="38" t="e">
        <f t="shared" si="2"/>
        <v>#REF!</v>
      </c>
      <c r="I20" s="38" t="e">
        <f t="shared" si="2"/>
        <v>#VALUE!</v>
      </c>
      <c r="J20" s="38" t="e">
        <f t="shared" si="2"/>
        <v>#REF!</v>
      </c>
      <c r="K20" s="38" t="e">
        <f t="shared" si="2"/>
        <v>#REF!</v>
      </c>
      <c r="L20" s="38" t="e">
        <f t="shared" si="2"/>
        <v>#REF!</v>
      </c>
      <c r="M20" s="38" t="e">
        <f t="shared" si="2"/>
        <v>#REF!</v>
      </c>
      <c r="N20" s="38" t="e">
        <f t="shared" si="2"/>
        <v>#REF!</v>
      </c>
      <c r="O20" s="38" t="e">
        <f t="shared" si="2"/>
        <v>#REF!</v>
      </c>
      <c r="P20" s="38" t="e">
        <f t="shared" si="2"/>
        <v>#REF!</v>
      </c>
      <c r="Q20" s="39" t="e">
        <f t="shared" si="2"/>
        <v>#REF!</v>
      </c>
      <c r="R20" s="38" t="e">
        <f t="shared" si="2"/>
        <v>#REF!</v>
      </c>
      <c r="S20" s="83" t="e">
        <f>S17+S19-#REF!</f>
        <v>#REF!</v>
      </c>
      <c r="T20" s="38"/>
      <c r="U20" s="38"/>
      <c r="V20" s="38"/>
      <c r="W20" s="41">
        <f>S19+W17</f>
        <v>4694757436.9099989</v>
      </c>
    </row>
    <row r="21" spans="1:23" x14ac:dyDescent="0.2">
      <c r="A21" s="42"/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5"/>
      <c r="R21" s="43"/>
      <c r="S21" s="86"/>
      <c r="T21" s="44"/>
      <c r="U21" s="44"/>
      <c r="V21" s="44"/>
      <c r="W21" s="46"/>
    </row>
    <row r="22" spans="1:23" x14ac:dyDescent="0.2">
      <c r="A22" s="37" t="s">
        <v>46</v>
      </c>
      <c r="B22" s="44"/>
      <c r="C22" s="44"/>
      <c r="D22" s="44"/>
      <c r="E22" s="44"/>
      <c r="F22" s="44"/>
      <c r="G22" s="44">
        <f>SUM(B22:F22)</f>
        <v>0</v>
      </c>
      <c r="H22" s="38"/>
      <c r="I22" s="38"/>
      <c r="J22" s="38"/>
      <c r="K22" s="38"/>
      <c r="L22" s="38"/>
      <c r="M22" s="38"/>
      <c r="N22" s="38"/>
      <c r="O22" s="38"/>
      <c r="P22" s="38"/>
      <c r="Q22" s="39">
        <f>SUM(H22:P22)</f>
        <v>0</v>
      </c>
      <c r="R22" s="38"/>
      <c r="S22" s="83">
        <f>Q22+G22+R22</f>
        <v>0</v>
      </c>
      <c r="T22" s="38"/>
      <c r="U22" s="38"/>
      <c r="V22" s="38"/>
      <c r="W22" s="41"/>
    </row>
    <row r="23" spans="1:23" x14ac:dyDescent="0.2">
      <c r="A23" s="37" t="s">
        <v>42</v>
      </c>
      <c r="B23" s="44">
        <f>B20+B22</f>
        <v>1838400</v>
      </c>
      <c r="C23" s="44" t="e">
        <f t="shared" ref="C23:R23" si="3">C20+C22-#REF!</f>
        <v>#REF!</v>
      </c>
      <c r="D23" s="44" t="e">
        <f t="shared" si="3"/>
        <v>#REF!</v>
      </c>
      <c r="E23" s="44" t="e">
        <f t="shared" si="3"/>
        <v>#REF!</v>
      </c>
      <c r="F23" s="44" t="e">
        <f t="shared" si="3"/>
        <v>#REF!</v>
      </c>
      <c r="G23" s="44" t="e">
        <f t="shared" si="3"/>
        <v>#REF!</v>
      </c>
      <c r="H23" s="38" t="e">
        <f t="shared" si="3"/>
        <v>#REF!</v>
      </c>
      <c r="I23" s="38" t="e">
        <f t="shared" si="3"/>
        <v>#VALUE!</v>
      </c>
      <c r="J23" s="38" t="e">
        <f t="shared" si="3"/>
        <v>#REF!</v>
      </c>
      <c r="K23" s="38" t="e">
        <f t="shared" si="3"/>
        <v>#REF!</v>
      </c>
      <c r="L23" s="38" t="e">
        <f t="shared" si="3"/>
        <v>#REF!</v>
      </c>
      <c r="M23" s="38" t="e">
        <f t="shared" si="3"/>
        <v>#REF!</v>
      </c>
      <c r="N23" s="38" t="e">
        <f t="shared" si="3"/>
        <v>#REF!</v>
      </c>
      <c r="O23" s="38" t="e">
        <f t="shared" si="3"/>
        <v>#REF!</v>
      </c>
      <c r="P23" s="38" t="e">
        <f t="shared" si="3"/>
        <v>#REF!</v>
      </c>
      <c r="Q23" s="39" t="e">
        <f t="shared" si="3"/>
        <v>#REF!</v>
      </c>
      <c r="R23" s="38" t="e">
        <f t="shared" si="3"/>
        <v>#REF!</v>
      </c>
      <c r="S23" s="83" t="e">
        <f>S20+S22-#REF!</f>
        <v>#REF!</v>
      </c>
      <c r="T23" s="38"/>
      <c r="U23" s="38"/>
      <c r="V23" s="38"/>
      <c r="W23" s="41">
        <f>S22+W20</f>
        <v>4694757436.9099989</v>
      </c>
    </row>
    <row r="24" spans="1:23" x14ac:dyDescent="0.2">
      <c r="A24" s="42"/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5"/>
      <c r="R24" s="43"/>
      <c r="S24" s="86"/>
      <c r="T24" s="44"/>
      <c r="U24" s="44"/>
      <c r="V24" s="44"/>
      <c r="W24" s="46"/>
    </row>
    <row r="25" spans="1:23" x14ac:dyDescent="0.2">
      <c r="A25" s="37" t="s">
        <v>47</v>
      </c>
      <c r="B25" s="44"/>
      <c r="C25" s="44"/>
      <c r="D25" s="44"/>
      <c r="E25" s="44"/>
      <c r="F25" s="44"/>
      <c r="G25" s="44">
        <f>SUM(B25:F25)</f>
        <v>0</v>
      </c>
      <c r="H25" s="38"/>
      <c r="I25" s="38"/>
      <c r="J25" s="38"/>
      <c r="K25" s="38"/>
      <c r="L25" s="38"/>
      <c r="M25" s="38"/>
      <c r="N25" s="38"/>
      <c r="O25" s="38"/>
      <c r="P25" s="38"/>
      <c r="Q25" s="39">
        <f>SUM(H25:P25)</f>
        <v>0</v>
      </c>
      <c r="R25" s="38"/>
      <c r="S25" s="83">
        <f>Q25+G25+R25</f>
        <v>0</v>
      </c>
      <c r="T25" s="38"/>
      <c r="U25" s="38"/>
      <c r="V25" s="38"/>
      <c r="W25" s="41"/>
    </row>
    <row r="26" spans="1:23" x14ac:dyDescent="0.2">
      <c r="A26" s="37" t="s">
        <v>42</v>
      </c>
      <c r="B26" s="44">
        <f>B23+B25</f>
        <v>1838400</v>
      </c>
      <c r="C26" s="44" t="e">
        <f t="shared" ref="C26:R26" si="4">C23+C25-#REF!</f>
        <v>#REF!</v>
      </c>
      <c r="D26" s="44" t="e">
        <f t="shared" si="4"/>
        <v>#REF!</v>
      </c>
      <c r="E26" s="44" t="e">
        <f t="shared" si="4"/>
        <v>#REF!</v>
      </c>
      <c r="F26" s="44" t="e">
        <f t="shared" si="4"/>
        <v>#REF!</v>
      </c>
      <c r="G26" s="44" t="e">
        <f t="shared" si="4"/>
        <v>#REF!</v>
      </c>
      <c r="H26" s="38" t="e">
        <f t="shared" si="4"/>
        <v>#REF!</v>
      </c>
      <c r="I26" s="38" t="e">
        <f t="shared" si="4"/>
        <v>#VALUE!</v>
      </c>
      <c r="J26" s="38" t="e">
        <f t="shared" si="4"/>
        <v>#REF!</v>
      </c>
      <c r="K26" s="38" t="e">
        <f t="shared" si="4"/>
        <v>#REF!</v>
      </c>
      <c r="L26" s="38" t="e">
        <f t="shared" si="4"/>
        <v>#REF!</v>
      </c>
      <c r="M26" s="38" t="e">
        <f t="shared" si="4"/>
        <v>#REF!</v>
      </c>
      <c r="N26" s="38" t="e">
        <f t="shared" si="4"/>
        <v>#REF!</v>
      </c>
      <c r="O26" s="38" t="e">
        <f t="shared" si="4"/>
        <v>#REF!</v>
      </c>
      <c r="P26" s="38" t="e">
        <f t="shared" si="4"/>
        <v>#REF!</v>
      </c>
      <c r="Q26" s="39" t="e">
        <f t="shared" si="4"/>
        <v>#REF!</v>
      </c>
      <c r="R26" s="38" t="e">
        <f t="shared" si="4"/>
        <v>#REF!</v>
      </c>
      <c r="S26" s="83" t="e">
        <f>S23+S25-#REF!</f>
        <v>#REF!</v>
      </c>
      <c r="T26" s="38"/>
      <c r="U26" s="38"/>
      <c r="V26" s="38"/>
      <c r="W26" s="41">
        <f>S25+W23</f>
        <v>4694757436.9099989</v>
      </c>
    </row>
    <row r="27" spans="1:23" x14ac:dyDescent="0.2">
      <c r="A27" s="42"/>
      <c r="B27" s="44"/>
      <c r="C27" s="44"/>
      <c r="D27" s="44"/>
      <c r="E27" s="44"/>
      <c r="F27" s="44"/>
      <c r="G27" s="44"/>
      <c r="H27" s="43"/>
      <c r="I27" s="43"/>
      <c r="J27" s="43"/>
      <c r="K27" s="43"/>
      <c r="L27" s="43"/>
      <c r="M27" s="43"/>
      <c r="N27" s="43"/>
      <c r="O27" s="43"/>
      <c r="P27" s="43"/>
      <c r="Q27" s="47"/>
      <c r="R27" s="43"/>
      <c r="S27" s="87"/>
      <c r="T27" s="43"/>
      <c r="U27" s="43"/>
      <c r="V27" s="43"/>
      <c r="W27" s="46"/>
    </row>
    <row r="28" spans="1:23" x14ac:dyDescent="0.2">
      <c r="A28" s="37" t="s">
        <v>48</v>
      </c>
      <c r="B28" s="44"/>
      <c r="C28" s="44"/>
      <c r="D28" s="44"/>
      <c r="E28" s="44"/>
      <c r="F28" s="44"/>
      <c r="G28" s="44">
        <f>SUM(B28:F28)</f>
        <v>0</v>
      </c>
      <c r="H28" s="38"/>
      <c r="I28" s="38"/>
      <c r="J28" s="38"/>
      <c r="K28" s="38"/>
      <c r="L28" s="38"/>
      <c r="M28" s="38"/>
      <c r="N28" s="38"/>
      <c r="O28" s="38"/>
      <c r="P28" s="38"/>
      <c r="Q28" s="39">
        <f>SUM(H28:P28)</f>
        <v>0</v>
      </c>
      <c r="R28" s="38"/>
      <c r="S28" s="83">
        <f>Q28+G28+R28</f>
        <v>0</v>
      </c>
      <c r="T28" s="38"/>
      <c r="U28" s="38"/>
      <c r="V28" s="38"/>
      <c r="W28" s="41"/>
    </row>
    <row r="29" spans="1:23" x14ac:dyDescent="0.2">
      <c r="A29" s="37" t="s">
        <v>42</v>
      </c>
      <c r="B29" s="44">
        <f>B26+B28</f>
        <v>1838400</v>
      </c>
      <c r="C29" s="44" t="e">
        <f t="shared" ref="C29:R29" si="5">C26+C28-#REF!</f>
        <v>#REF!</v>
      </c>
      <c r="D29" s="44" t="e">
        <f t="shared" si="5"/>
        <v>#REF!</v>
      </c>
      <c r="E29" s="44" t="e">
        <f t="shared" si="5"/>
        <v>#REF!</v>
      </c>
      <c r="F29" s="44" t="e">
        <f t="shared" si="5"/>
        <v>#REF!</v>
      </c>
      <c r="G29" s="44" t="e">
        <f t="shared" si="5"/>
        <v>#REF!</v>
      </c>
      <c r="H29" s="38" t="e">
        <f t="shared" si="5"/>
        <v>#REF!</v>
      </c>
      <c r="I29" s="38" t="e">
        <f t="shared" si="5"/>
        <v>#VALUE!</v>
      </c>
      <c r="J29" s="38" t="e">
        <f t="shared" si="5"/>
        <v>#REF!</v>
      </c>
      <c r="K29" s="38" t="e">
        <f t="shared" si="5"/>
        <v>#REF!</v>
      </c>
      <c r="L29" s="38" t="e">
        <f t="shared" si="5"/>
        <v>#REF!</v>
      </c>
      <c r="M29" s="38" t="e">
        <f t="shared" si="5"/>
        <v>#REF!</v>
      </c>
      <c r="N29" s="38" t="e">
        <f t="shared" si="5"/>
        <v>#REF!</v>
      </c>
      <c r="O29" s="38" t="e">
        <f t="shared" si="5"/>
        <v>#REF!</v>
      </c>
      <c r="P29" s="38" t="e">
        <f t="shared" si="5"/>
        <v>#REF!</v>
      </c>
      <c r="Q29" s="39" t="e">
        <f t="shared" si="5"/>
        <v>#REF!</v>
      </c>
      <c r="R29" s="38" t="e">
        <f t="shared" si="5"/>
        <v>#REF!</v>
      </c>
      <c r="S29" s="83" t="e">
        <f>S26+S28-#REF!</f>
        <v>#REF!</v>
      </c>
      <c r="T29" s="38"/>
      <c r="U29" s="38"/>
      <c r="V29" s="38"/>
      <c r="W29" s="41">
        <f>S28+W26</f>
        <v>4694757436.9099989</v>
      </c>
    </row>
    <row r="30" spans="1:23" x14ac:dyDescent="0.2">
      <c r="A30" s="42"/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5"/>
      <c r="R30" s="43"/>
      <c r="S30" s="86"/>
      <c r="T30" s="44"/>
      <c r="U30" s="44"/>
      <c r="V30" s="44"/>
      <c r="W30" s="46"/>
    </row>
    <row r="31" spans="1:23" x14ac:dyDescent="0.2">
      <c r="A31" s="37" t="s">
        <v>49</v>
      </c>
      <c r="B31" s="44"/>
      <c r="C31" s="44"/>
      <c r="D31" s="44"/>
      <c r="E31" s="44"/>
      <c r="F31" s="44"/>
      <c r="G31" s="44">
        <f>SUM(B31:F31)</f>
        <v>0</v>
      </c>
      <c r="H31" s="38"/>
      <c r="I31" s="38"/>
      <c r="J31" s="38"/>
      <c r="K31" s="38"/>
      <c r="L31" s="38"/>
      <c r="M31" s="38"/>
      <c r="N31" s="38"/>
      <c r="O31" s="38"/>
      <c r="P31" s="38"/>
      <c r="Q31" s="39">
        <f>SUM(H31:P31)</f>
        <v>0</v>
      </c>
      <c r="R31" s="38"/>
      <c r="S31" s="83">
        <f>Q31+G31+R31</f>
        <v>0</v>
      </c>
      <c r="T31" s="38"/>
      <c r="U31" s="38"/>
      <c r="V31" s="38"/>
      <c r="W31" s="41"/>
    </row>
    <row r="32" spans="1:23" x14ac:dyDescent="0.2">
      <c r="A32" s="37" t="s">
        <v>42</v>
      </c>
      <c r="B32" s="44">
        <f>B29+B31</f>
        <v>1838400</v>
      </c>
      <c r="C32" s="44" t="e">
        <f t="shared" ref="C32:R32" si="6">C29+C31-#REF!</f>
        <v>#REF!</v>
      </c>
      <c r="D32" s="44" t="e">
        <f t="shared" si="6"/>
        <v>#REF!</v>
      </c>
      <c r="E32" s="44" t="e">
        <f t="shared" si="6"/>
        <v>#REF!</v>
      </c>
      <c r="F32" s="44" t="e">
        <f t="shared" si="6"/>
        <v>#REF!</v>
      </c>
      <c r="G32" s="44" t="e">
        <f t="shared" si="6"/>
        <v>#REF!</v>
      </c>
      <c r="H32" s="38" t="e">
        <f t="shared" si="6"/>
        <v>#REF!</v>
      </c>
      <c r="I32" s="38" t="e">
        <f t="shared" si="6"/>
        <v>#VALUE!</v>
      </c>
      <c r="J32" s="38" t="e">
        <f t="shared" si="6"/>
        <v>#REF!</v>
      </c>
      <c r="K32" s="38" t="e">
        <f t="shared" si="6"/>
        <v>#REF!</v>
      </c>
      <c r="L32" s="38" t="e">
        <f t="shared" si="6"/>
        <v>#REF!</v>
      </c>
      <c r="M32" s="38" t="e">
        <f t="shared" si="6"/>
        <v>#REF!</v>
      </c>
      <c r="N32" s="38" t="e">
        <f t="shared" si="6"/>
        <v>#REF!</v>
      </c>
      <c r="O32" s="38" t="e">
        <f t="shared" si="6"/>
        <v>#REF!</v>
      </c>
      <c r="P32" s="38" t="e">
        <f t="shared" si="6"/>
        <v>#REF!</v>
      </c>
      <c r="Q32" s="39" t="e">
        <f t="shared" si="6"/>
        <v>#REF!</v>
      </c>
      <c r="R32" s="38" t="e">
        <f t="shared" si="6"/>
        <v>#REF!</v>
      </c>
      <c r="S32" s="83" t="e">
        <f>S29+S31-#REF!</f>
        <v>#REF!</v>
      </c>
      <c r="T32" s="38"/>
      <c r="U32" s="38"/>
      <c r="V32" s="38"/>
      <c r="W32" s="41">
        <f>S31+W29</f>
        <v>4694757436.9099989</v>
      </c>
    </row>
    <row r="33" spans="1:23" x14ac:dyDescent="0.2">
      <c r="A33" s="42"/>
      <c r="B33" s="44"/>
      <c r="C33" s="44"/>
      <c r="D33" s="44"/>
      <c r="E33" s="44"/>
      <c r="F33" s="44"/>
      <c r="G33" s="44"/>
      <c r="H33" s="43"/>
      <c r="I33" s="43"/>
      <c r="J33" s="43"/>
      <c r="K33" s="43"/>
      <c r="L33" s="43"/>
      <c r="M33" s="43"/>
      <c r="N33" s="43"/>
      <c r="O33" s="43"/>
      <c r="P33" s="43"/>
      <c r="Q33" s="47"/>
      <c r="R33" s="43"/>
      <c r="S33" s="87"/>
      <c r="T33" s="43"/>
      <c r="U33" s="43"/>
      <c r="V33" s="43"/>
      <c r="W33" s="46"/>
    </row>
    <row r="34" spans="1:23" x14ac:dyDescent="0.2">
      <c r="A34" s="37" t="s">
        <v>50</v>
      </c>
      <c r="B34" s="44"/>
      <c r="C34" s="44"/>
      <c r="D34" s="44"/>
      <c r="E34" s="44"/>
      <c r="F34" s="44"/>
      <c r="G34" s="44">
        <f>SUM(B34:F34)</f>
        <v>0</v>
      </c>
      <c r="H34" s="38"/>
      <c r="I34" s="38"/>
      <c r="J34" s="38"/>
      <c r="K34" s="38"/>
      <c r="L34" s="38"/>
      <c r="M34" s="38"/>
      <c r="N34" s="38"/>
      <c r="O34" s="38"/>
      <c r="P34" s="38"/>
      <c r="Q34" s="39">
        <f>SUM(H34:P34)</f>
        <v>0</v>
      </c>
      <c r="R34" s="38"/>
      <c r="S34" s="83">
        <f>Q34+G34+R34</f>
        <v>0</v>
      </c>
      <c r="T34" s="38"/>
      <c r="U34" s="38"/>
      <c r="V34" s="38"/>
      <c r="W34" s="41"/>
    </row>
    <row r="35" spans="1:23" x14ac:dyDescent="0.2">
      <c r="A35" s="37" t="s">
        <v>42</v>
      </c>
      <c r="B35" s="44">
        <f>B32+B34</f>
        <v>1838400</v>
      </c>
      <c r="C35" s="44" t="e">
        <f t="shared" ref="C35:R35" si="7">C32+C34-#REF!</f>
        <v>#REF!</v>
      </c>
      <c r="D35" s="44" t="e">
        <f t="shared" si="7"/>
        <v>#REF!</v>
      </c>
      <c r="E35" s="44" t="e">
        <f t="shared" si="7"/>
        <v>#REF!</v>
      </c>
      <c r="F35" s="44" t="e">
        <f t="shared" si="7"/>
        <v>#REF!</v>
      </c>
      <c r="G35" s="44" t="e">
        <f t="shared" si="7"/>
        <v>#REF!</v>
      </c>
      <c r="H35" s="38" t="e">
        <f t="shared" si="7"/>
        <v>#REF!</v>
      </c>
      <c r="I35" s="38" t="e">
        <f t="shared" si="7"/>
        <v>#VALUE!</v>
      </c>
      <c r="J35" s="38" t="e">
        <f t="shared" si="7"/>
        <v>#REF!</v>
      </c>
      <c r="K35" s="38" t="e">
        <f t="shared" si="7"/>
        <v>#REF!</v>
      </c>
      <c r="L35" s="38" t="e">
        <f t="shared" si="7"/>
        <v>#REF!</v>
      </c>
      <c r="M35" s="38" t="e">
        <f t="shared" si="7"/>
        <v>#REF!</v>
      </c>
      <c r="N35" s="38" t="e">
        <f t="shared" si="7"/>
        <v>#REF!</v>
      </c>
      <c r="O35" s="38" t="e">
        <f t="shared" si="7"/>
        <v>#REF!</v>
      </c>
      <c r="P35" s="38" t="e">
        <f t="shared" si="7"/>
        <v>#REF!</v>
      </c>
      <c r="Q35" s="39" t="e">
        <f t="shared" si="7"/>
        <v>#REF!</v>
      </c>
      <c r="R35" s="38" t="e">
        <f t="shared" si="7"/>
        <v>#REF!</v>
      </c>
      <c r="S35" s="83" t="e">
        <f>S32+S34-#REF!</f>
        <v>#REF!</v>
      </c>
      <c r="T35" s="38"/>
      <c r="U35" s="38"/>
      <c r="V35" s="38"/>
      <c r="W35" s="41">
        <f>S34+W32</f>
        <v>4694757436.9099989</v>
      </c>
    </row>
    <row r="36" spans="1:23" x14ac:dyDescent="0.2">
      <c r="A36" s="42"/>
      <c r="B36" s="44"/>
      <c r="C36" s="44"/>
      <c r="D36" s="44"/>
      <c r="E36" s="44"/>
      <c r="F36" s="44"/>
      <c r="G36" s="44"/>
      <c r="H36" s="43"/>
      <c r="I36" s="43"/>
      <c r="J36" s="43"/>
      <c r="K36" s="43"/>
      <c r="L36" s="43"/>
      <c r="M36" s="43"/>
      <c r="N36" s="43"/>
      <c r="O36" s="43"/>
      <c r="P36" s="43"/>
      <c r="Q36" s="47"/>
      <c r="R36" s="43"/>
      <c r="S36" s="87"/>
      <c r="T36" s="43"/>
      <c r="U36" s="43"/>
      <c r="V36" s="43"/>
      <c r="W36" s="46"/>
    </row>
    <row r="37" spans="1:23" x14ac:dyDescent="0.2">
      <c r="A37" s="37" t="s">
        <v>51</v>
      </c>
      <c r="B37" s="44"/>
      <c r="C37" s="44"/>
      <c r="D37" s="44"/>
      <c r="E37" s="44"/>
      <c r="F37" s="44"/>
      <c r="G37" s="44">
        <f>SUM(B37:F37)</f>
        <v>0</v>
      </c>
      <c r="H37" s="38"/>
      <c r="I37" s="38"/>
      <c r="J37" s="38"/>
      <c r="K37" s="38"/>
      <c r="L37" s="38"/>
      <c r="M37" s="38"/>
      <c r="N37" s="38"/>
      <c r="O37" s="38"/>
      <c r="P37" s="38"/>
      <c r="Q37" s="39">
        <f>SUM(H37:P37)</f>
        <v>0</v>
      </c>
      <c r="R37" s="40">
        <v>0</v>
      </c>
      <c r="S37" s="83">
        <f>Q37+G37+R37</f>
        <v>0</v>
      </c>
      <c r="T37" s="38"/>
      <c r="U37" s="38"/>
      <c r="V37" s="38"/>
      <c r="W37" s="41"/>
    </row>
    <row r="38" spans="1:23" x14ac:dyDescent="0.2">
      <c r="A38" s="37" t="s">
        <v>42</v>
      </c>
      <c r="B38" s="44">
        <f>B35+B37</f>
        <v>1838400</v>
      </c>
      <c r="C38" s="44" t="e">
        <f t="shared" ref="C38:R38" si="8">C35+C37-#REF!</f>
        <v>#REF!</v>
      </c>
      <c r="D38" s="44" t="e">
        <f t="shared" si="8"/>
        <v>#REF!</v>
      </c>
      <c r="E38" s="44" t="e">
        <f t="shared" si="8"/>
        <v>#REF!</v>
      </c>
      <c r="F38" s="44" t="e">
        <f t="shared" si="8"/>
        <v>#REF!</v>
      </c>
      <c r="G38" s="44" t="e">
        <f t="shared" si="8"/>
        <v>#REF!</v>
      </c>
      <c r="H38" s="38" t="e">
        <f t="shared" si="8"/>
        <v>#REF!</v>
      </c>
      <c r="I38" s="38" t="e">
        <f t="shared" si="8"/>
        <v>#VALUE!</v>
      </c>
      <c r="J38" s="38" t="e">
        <f t="shared" si="8"/>
        <v>#REF!</v>
      </c>
      <c r="K38" s="38" t="e">
        <f t="shared" si="8"/>
        <v>#REF!</v>
      </c>
      <c r="L38" s="38" t="e">
        <f t="shared" si="8"/>
        <v>#REF!</v>
      </c>
      <c r="M38" s="38" t="e">
        <f t="shared" si="8"/>
        <v>#REF!</v>
      </c>
      <c r="N38" s="38" t="e">
        <f t="shared" si="8"/>
        <v>#REF!</v>
      </c>
      <c r="O38" s="38" t="e">
        <f t="shared" si="8"/>
        <v>#REF!</v>
      </c>
      <c r="P38" s="38" t="e">
        <f t="shared" si="8"/>
        <v>#REF!</v>
      </c>
      <c r="Q38" s="39" t="e">
        <f t="shared" si="8"/>
        <v>#REF!</v>
      </c>
      <c r="R38" s="38" t="e">
        <f t="shared" si="8"/>
        <v>#REF!</v>
      </c>
      <c r="S38" s="83" t="e">
        <f>S35+S37-#REF!</f>
        <v>#REF!</v>
      </c>
      <c r="T38" s="38"/>
      <c r="U38" s="38"/>
      <c r="V38" s="38"/>
      <c r="W38" s="41">
        <f>S37+W35</f>
        <v>4694757436.9099989</v>
      </c>
    </row>
    <row r="39" spans="1:23" x14ac:dyDescent="0.2">
      <c r="A39" s="42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5"/>
      <c r="R39" s="43"/>
      <c r="S39" s="86"/>
      <c r="T39" s="44"/>
      <c r="U39" s="44"/>
      <c r="V39" s="44"/>
      <c r="W39" s="46"/>
    </row>
    <row r="40" spans="1:23" x14ac:dyDescent="0.2">
      <c r="A40" s="37" t="s">
        <v>52</v>
      </c>
      <c r="B40" s="44"/>
      <c r="C40" s="44"/>
      <c r="D40" s="44"/>
      <c r="E40" s="44"/>
      <c r="F40" s="44"/>
      <c r="G40" s="44">
        <v>388639.44</v>
      </c>
      <c r="H40" s="38"/>
      <c r="I40" s="38"/>
      <c r="J40" s="38"/>
      <c r="K40" s="38"/>
      <c r="L40" s="38"/>
      <c r="M40" s="38"/>
      <c r="N40" s="38"/>
      <c r="O40" s="38"/>
      <c r="P40" s="38"/>
      <c r="Q40" s="39">
        <f>SUM(H40:P40)</f>
        <v>0</v>
      </c>
      <c r="R40" s="40">
        <v>0</v>
      </c>
      <c r="S40" s="83">
        <f>Q40+G40+R40</f>
        <v>388639.44</v>
      </c>
      <c r="T40" s="38"/>
      <c r="U40" s="38"/>
      <c r="V40" s="38"/>
      <c r="W40" s="41"/>
    </row>
    <row r="41" spans="1:23" x14ac:dyDescent="0.2">
      <c r="A41" s="37" t="s">
        <v>42</v>
      </c>
      <c r="B41" s="44">
        <f>B38+B40</f>
        <v>1838400</v>
      </c>
      <c r="C41" s="44" t="e">
        <f t="shared" ref="C41:R41" si="9">C38+C40-#REF!</f>
        <v>#REF!</v>
      </c>
      <c r="D41" s="44" t="e">
        <f t="shared" si="9"/>
        <v>#REF!</v>
      </c>
      <c r="E41" s="44" t="e">
        <f t="shared" si="9"/>
        <v>#REF!</v>
      </c>
      <c r="F41" s="44" t="e">
        <f t="shared" si="9"/>
        <v>#REF!</v>
      </c>
      <c r="G41" s="44" t="e">
        <f t="shared" si="9"/>
        <v>#REF!</v>
      </c>
      <c r="H41" s="38" t="e">
        <f t="shared" si="9"/>
        <v>#REF!</v>
      </c>
      <c r="I41" s="38" t="e">
        <f t="shared" si="9"/>
        <v>#VALUE!</v>
      </c>
      <c r="J41" s="38" t="e">
        <f t="shared" si="9"/>
        <v>#REF!</v>
      </c>
      <c r="K41" s="38" t="e">
        <f t="shared" si="9"/>
        <v>#REF!</v>
      </c>
      <c r="L41" s="38" t="e">
        <f t="shared" si="9"/>
        <v>#REF!</v>
      </c>
      <c r="M41" s="38" t="e">
        <f t="shared" si="9"/>
        <v>#REF!</v>
      </c>
      <c r="N41" s="38" t="e">
        <f t="shared" si="9"/>
        <v>#REF!</v>
      </c>
      <c r="O41" s="38" t="e">
        <f t="shared" si="9"/>
        <v>#REF!</v>
      </c>
      <c r="P41" s="38" t="e">
        <f t="shared" si="9"/>
        <v>#REF!</v>
      </c>
      <c r="Q41" s="39" t="e">
        <f t="shared" si="9"/>
        <v>#REF!</v>
      </c>
      <c r="R41" s="38" t="e">
        <f t="shared" si="9"/>
        <v>#REF!</v>
      </c>
      <c r="S41" s="83" t="e">
        <f>S38+S40-#REF!</f>
        <v>#REF!</v>
      </c>
      <c r="T41" s="38"/>
      <c r="U41" s="38"/>
      <c r="V41" s="38"/>
      <c r="W41" s="41">
        <f>S40+W38</f>
        <v>4695146076.3499985</v>
      </c>
    </row>
    <row r="42" spans="1:23" x14ac:dyDescent="0.2">
      <c r="A42" s="42"/>
      <c r="B42" s="44"/>
      <c r="C42" s="44"/>
      <c r="D42" s="44"/>
      <c r="E42" s="44"/>
      <c r="F42" s="44"/>
      <c r="G42" s="44"/>
      <c r="H42" s="43"/>
      <c r="I42" s="43"/>
      <c r="J42" s="43"/>
      <c r="K42" s="43"/>
      <c r="L42" s="43"/>
      <c r="M42" s="43"/>
      <c r="N42" s="43"/>
      <c r="O42" s="43"/>
      <c r="P42" s="43"/>
      <c r="Q42" s="47"/>
      <c r="R42" s="43"/>
      <c r="S42" s="87"/>
      <c r="T42" s="43"/>
      <c r="U42" s="43"/>
      <c r="V42" s="43"/>
      <c r="W42" s="46"/>
    </row>
    <row r="43" spans="1:23" x14ac:dyDescent="0.2">
      <c r="A43" s="37" t="s">
        <v>53</v>
      </c>
      <c r="B43" s="44"/>
      <c r="C43" s="44"/>
      <c r="D43" s="44"/>
      <c r="E43" s="44"/>
      <c r="F43" s="44"/>
      <c r="G43" s="44">
        <f>SUM(B43:F43)</f>
        <v>0</v>
      </c>
      <c r="H43" s="38"/>
      <c r="I43" s="38"/>
      <c r="J43" s="38"/>
      <c r="K43" s="38"/>
      <c r="L43" s="38"/>
      <c r="M43" s="38"/>
      <c r="N43" s="38"/>
      <c r="O43" s="38"/>
      <c r="P43" s="38"/>
      <c r="Q43" s="39">
        <f>SUM(H43:P43)</f>
        <v>0</v>
      </c>
      <c r="R43" s="40">
        <v>0</v>
      </c>
      <c r="S43" s="83">
        <f>Q43+G43+R43</f>
        <v>0</v>
      </c>
      <c r="T43" s="38"/>
      <c r="U43" s="38"/>
      <c r="V43" s="38"/>
      <c r="W43" s="41"/>
    </row>
    <row r="44" spans="1:23" ht="13.5" thickBot="1" x14ac:dyDescent="0.25">
      <c r="A44" s="48" t="s">
        <v>42</v>
      </c>
      <c r="B44" s="44">
        <f>B41+B43</f>
        <v>1838400</v>
      </c>
      <c r="C44" s="44" t="e">
        <f t="shared" ref="C44:R44" si="10">C41+C43-#REF!</f>
        <v>#REF!</v>
      </c>
      <c r="D44" s="44" t="e">
        <f t="shared" si="10"/>
        <v>#REF!</v>
      </c>
      <c r="E44" s="44" t="e">
        <f t="shared" si="10"/>
        <v>#REF!</v>
      </c>
      <c r="F44" s="44" t="e">
        <f t="shared" si="10"/>
        <v>#REF!</v>
      </c>
      <c r="G44" s="44" t="e">
        <f t="shared" si="10"/>
        <v>#REF!</v>
      </c>
      <c r="H44" s="49" t="e">
        <f t="shared" si="10"/>
        <v>#REF!</v>
      </c>
      <c r="I44" s="49" t="e">
        <f t="shared" si="10"/>
        <v>#VALUE!</v>
      </c>
      <c r="J44" s="49" t="e">
        <f t="shared" si="10"/>
        <v>#REF!</v>
      </c>
      <c r="K44" s="49" t="e">
        <f t="shared" si="10"/>
        <v>#REF!</v>
      </c>
      <c r="L44" s="49" t="e">
        <f t="shared" si="10"/>
        <v>#REF!</v>
      </c>
      <c r="M44" s="49" t="e">
        <f t="shared" si="10"/>
        <v>#REF!</v>
      </c>
      <c r="N44" s="49" t="e">
        <f t="shared" si="10"/>
        <v>#REF!</v>
      </c>
      <c r="O44" s="49" t="e">
        <f t="shared" si="10"/>
        <v>#REF!</v>
      </c>
      <c r="P44" s="49" t="e">
        <f t="shared" si="10"/>
        <v>#REF!</v>
      </c>
      <c r="Q44" s="50" t="e">
        <f t="shared" si="10"/>
        <v>#REF!</v>
      </c>
      <c r="R44" s="49" t="e">
        <f t="shared" si="10"/>
        <v>#REF!</v>
      </c>
      <c r="S44" s="89" t="e">
        <f>S41+S43-#REF!</f>
        <v>#REF!</v>
      </c>
      <c r="T44" s="49"/>
      <c r="U44" s="49"/>
      <c r="V44" s="49"/>
      <c r="W44" s="51">
        <f>S43+W41</f>
        <v>4695146076.3499985</v>
      </c>
    </row>
    <row r="52" spans="2:23" x14ac:dyDescent="0.2">
      <c r="W52" s="107"/>
    </row>
    <row r="53" spans="2:23" x14ac:dyDescent="0.2">
      <c r="W53" s="107"/>
    </row>
    <row r="54" spans="2:23" x14ac:dyDescent="0.2">
      <c r="W54" s="107"/>
    </row>
    <row r="55" spans="2:23" x14ac:dyDescent="0.2">
      <c r="W55" s="107"/>
    </row>
    <row r="56" spans="2:23" x14ac:dyDescent="0.2">
      <c r="W56" s="107"/>
    </row>
    <row r="57" spans="2:23" x14ac:dyDescent="0.2">
      <c r="W57" s="107"/>
    </row>
    <row r="58" spans="2:23" x14ac:dyDescent="0.2">
      <c r="D58" s="108" t="s">
        <v>91</v>
      </c>
      <c r="L58" s="109">
        <v>33610.620127314818</v>
      </c>
      <c r="M58" s="110">
        <v>33610.620127314818</v>
      </c>
      <c r="O58" s="108" t="s">
        <v>92</v>
      </c>
      <c r="W58" s="107"/>
    </row>
    <row r="59" spans="2:23" x14ac:dyDescent="0.2">
      <c r="D59" s="108" t="s">
        <v>2</v>
      </c>
      <c r="F59" s="108" t="s">
        <v>2</v>
      </c>
      <c r="H59" s="108" t="s">
        <v>3</v>
      </c>
      <c r="I59" s="108" t="s">
        <v>3</v>
      </c>
      <c r="J59" s="108" t="s">
        <v>4</v>
      </c>
      <c r="W59" s="107"/>
    </row>
    <row r="60" spans="2:23" x14ac:dyDescent="0.2">
      <c r="F60" s="108" t="s">
        <v>93</v>
      </c>
      <c r="W60" s="107"/>
    </row>
    <row r="61" spans="2:23" x14ac:dyDescent="0.2">
      <c r="W61" s="111" t="s">
        <v>7</v>
      </c>
    </row>
    <row r="62" spans="2:23" x14ac:dyDescent="0.2">
      <c r="B62" s="108" t="s">
        <v>94</v>
      </c>
      <c r="I62" s="108" t="s">
        <v>95</v>
      </c>
      <c r="W62" s="111" t="s">
        <v>10</v>
      </c>
    </row>
    <row r="63" spans="2:23" x14ac:dyDescent="0.2">
      <c r="B63" s="112" t="s">
        <v>11</v>
      </c>
      <c r="C63" s="112" t="s">
        <v>12</v>
      </c>
      <c r="D63" s="112" t="s">
        <v>13</v>
      </c>
      <c r="E63" s="112" t="s">
        <v>14</v>
      </c>
      <c r="F63" s="112" t="s">
        <v>15</v>
      </c>
      <c r="G63" s="112" t="s">
        <v>16</v>
      </c>
      <c r="I63" s="112" t="s">
        <v>17</v>
      </c>
      <c r="N63" s="112" t="s">
        <v>18</v>
      </c>
      <c r="O63" s="112" t="s">
        <v>19</v>
      </c>
      <c r="P63" s="112" t="s">
        <v>20</v>
      </c>
      <c r="Q63" s="112" t="s">
        <v>21</v>
      </c>
      <c r="R63" s="112" t="s">
        <v>16</v>
      </c>
      <c r="S63" s="112" t="s">
        <v>7</v>
      </c>
      <c r="T63" s="112"/>
      <c r="U63" s="112"/>
      <c r="V63" s="112"/>
      <c r="W63" s="111" t="s">
        <v>22</v>
      </c>
    </row>
    <row r="64" spans="2:23" x14ac:dyDescent="0.2">
      <c r="B64" s="112" t="s">
        <v>23</v>
      </c>
      <c r="C64" s="112" t="s">
        <v>24</v>
      </c>
      <c r="D64" s="112" t="s">
        <v>25</v>
      </c>
      <c r="E64" s="112" t="s">
        <v>26</v>
      </c>
      <c r="F64" s="112" t="s">
        <v>27</v>
      </c>
      <c r="G64" s="112" t="s">
        <v>28</v>
      </c>
      <c r="I64" s="112" t="s">
        <v>29</v>
      </c>
      <c r="J64" s="112" t="s">
        <v>30</v>
      </c>
      <c r="K64" s="112" t="s">
        <v>31</v>
      </c>
      <c r="L64" s="112" t="s">
        <v>32</v>
      </c>
      <c r="M64" s="112" t="s">
        <v>33</v>
      </c>
      <c r="N64" s="112" t="s">
        <v>34</v>
      </c>
      <c r="O64" s="112" t="s">
        <v>35</v>
      </c>
      <c r="P64" s="112" t="s">
        <v>36</v>
      </c>
      <c r="Q64" s="112" t="s">
        <v>37</v>
      </c>
      <c r="R64" s="112" t="s">
        <v>28</v>
      </c>
      <c r="S64" s="112" t="s">
        <v>10</v>
      </c>
      <c r="T64" s="112"/>
      <c r="U64" s="112"/>
      <c r="V64" s="112"/>
      <c r="W64" s="111" t="s">
        <v>38</v>
      </c>
    </row>
    <row r="65" spans="1:24" x14ac:dyDescent="0.2">
      <c r="B65" s="112" t="s">
        <v>39</v>
      </c>
      <c r="C65" s="112" t="s">
        <v>40</v>
      </c>
      <c r="D65" s="112" t="s">
        <v>40</v>
      </c>
      <c r="E65" s="112" t="s">
        <v>40</v>
      </c>
      <c r="F65" s="112" t="s">
        <v>40</v>
      </c>
      <c r="G65" s="112" t="s">
        <v>40</v>
      </c>
      <c r="H65" s="112" t="s">
        <v>40</v>
      </c>
      <c r="I65" s="112" t="s">
        <v>40</v>
      </c>
      <c r="J65" s="112" t="s">
        <v>40</v>
      </c>
      <c r="K65" s="112" t="s">
        <v>40</v>
      </c>
      <c r="L65" s="112" t="s">
        <v>40</v>
      </c>
      <c r="M65" s="112" t="s">
        <v>40</v>
      </c>
      <c r="N65" s="112" t="s">
        <v>40</v>
      </c>
      <c r="O65" s="112" t="s">
        <v>40</v>
      </c>
      <c r="P65" s="112" t="s">
        <v>40</v>
      </c>
      <c r="Q65" s="112" t="s">
        <v>40</v>
      </c>
      <c r="R65" s="112" t="s">
        <v>40</v>
      </c>
      <c r="S65" s="112" t="s">
        <v>40</v>
      </c>
      <c r="T65" s="112"/>
      <c r="U65" s="112"/>
      <c r="V65" s="112"/>
      <c r="W65" s="111" t="s">
        <v>40</v>
      </c>
    </row>
    <row r="66" spans="1:24" x14ac:dyDescent="0.2">
      <c r="A66" s="112" t="s">
        <v>41</v>
      </c>
      <c r="B66" s="107">
        <v>307200</v>
      </c>
      <c r="C66" s="107">
        <v>3414000</v>
      </c>
      <c r="D66" s="107">
        <v>4524000</v>
      </c>
      <c r="E66" s="107">
        <v>0</v>
      </c>
      <c r="F66" s="107">
        <v>1872000</v>
      </c>
      <c r="G66" s="107">
        <v>10117200</v>
      </c>
      <c r="H66" s="107"/>
      <c r="I66" s="107">
        <v>4990800</v>
      </c>
      <c r="J66" s="107">
        <v>3798000</v>
      </c>
      <c r="K66" s="107">
        <v>1863000</v>
      </c>
      <c r="L66" s="107">
        <v>1794000</v>
      </c>
      <c r="M66" s="107">
        <v>0</v>
      </c>
      <c r="N66" s="107">
        <v>906000</v>
      </c>
      <c r="O66" s="107">
        <v>915000</v>
      </c>
      <c r="P66" s="107">
        <v>312000</v>
      </c>
      <c r="Q66" s="107">
        <v>0</v>
      </c>
      <c r="R66" s="107">
        <v>14578800</v>
      </c>
      <c r="S66" s="107">
        <v>24696000</v>
      </c>
      <c r="T66" s="107"/>
      <c r="U66" s="107"/>
      <c r="V66" s="107"/>
      <c r="W66" s="107"/>
      <c r="X66" s="107"/>
    </row>
    <row r="67" spans="1:24" x14ac:dyDescent="0.2">
      <c r="A67" s="112" t="s">
        <v>42</v>
      </c>
      <c r="B67" s="107">
        <v>5558400</v>
      </c>
      <c r="C67" s="107">
        <v>38184000</v>
      </c>
      <c r="D67" s="107">
        <v>41376000</v>
      </c>
      <c r="E67" s="107">
        <v>63441000</v>
      </c>
      <c r="F67" s="107">
        <v>30174000</v>
      </c>
      <c r="G67" s="107">
        <v>178733400</v>
      </c>
      <c r="H67" s="107"/>
      <c r="I67" s="107">
        <v>57850800</v>
      </c>
      <c r="J67" s="107">
        <v>29889000</v>
      </c>
      <c r="K67" s="107">
        <v>20601000</v>
      </c>
      <c r="L67" s="107">
        <v>19983000</v>
      </c>
      <c r="M67" s="107">
        <v>26892000</v>
      </c>
      <c r="N67" s="107">
        <v>9762000</v>
      </c>
      <c r="O67" s="107">
        <v>15798000</v>
      </c>
      <c r="P67" s="107">
        <v>26484000</v>
      </c>
      <c r="Q67" s="107">
        <v>4864000</v>
      </c>
      <c r="R67" s="107">
        <v>212123800</v>
      </c>
      <c r="S67" s="107">
        <v>390857200</v>
      </c>
      <c r="T67" s="107"/>
      <c r="U67" s="107"/>
      <c r="V67" s="107"/>
      <c r="W67" s="107">
        <v>2631669200</v>
      </c>
    </row>
    <row r="68" spans="1:24" x14ac:dyDescent="0.2">
      <c r="H68" s="107"/>
      <c r="W68" s="107"/>
    </row>
    <row r="69" spans="1:24" x14ac:dyDescent="0.2">
      <c r="A69" s="112" t="s">
        <v>43</v>
      </c>
      <c r="B69" s="107">
        <v>576000</v>
      </c>
      <c r="C69" s="107">
        <v>2580000</v>
      </c>
      <c r="D69" s="107">
        <v>4824000</v>
      </c>
      <c r="E69" s="107">
        <v>3159000</v>
      </c>
      <c r="F69" s="107">
        <v>1818000</v>
      </c>
      <c r="G69" s="107">
        <v>12957000</v>
      </c>
      <c r="H69" s="107"/>
      <c r="I69" s="107">
        <v>2204400</v>
      </c>
      <c r="J69" s="107">
        <v>2934000</v>
      </c>
      <c r="K69" s="107">
        <v>1194000</v>
      </c>
      <c r="L69" s="107">
        <v>1113000</v>
      </c>
      <c r="M69" s="107">
        <v>0</v>
      </c>
      <c r="N69" s="107">
        <v>880000</v>
      </c>
      <c r="O69" s="107">
        <v>663000</v>
      </c>
      <c r="P69" s="107">
        <v>2232000</v>
      </c>
      <c r="Q69" s="107">
        <v>0</v>
      </c>
      <c r="R69" s="107">
        <v>11220400</v>
      </c>
      <c r="S69" s="107">
        <v>24177400</v>
      </c>
      <c r="T69" s="107"/>
      <c r="U69" s="107"/>
      <c r="V69" s="107"/>
      <c r="W69" s="107"/>
      <c r="X69" s="107"/>
    </row>
    <row r="70" spans="1:24" x14ac:dyDescent="0.2">
      <c r="A70" s="112" t="s">
        <v>42</v>
      </c>
      <c r="B70" s="107">
        <v>6134400</v>
      </c>
      <c r="C70" s="107">
        <v>38040000</v>
      </c>
      <c r="D70" s="107">
        <v>46200000</v>
      </c>
      <c r="E70" s="107">
        <v>63342000</v>
      </c>
      <c r="F70" s="107">
        <v>29706000</v>
      </c>
      <c r="G70" s="107">
        <v>183422400</v>
      </c>
      <c r="H70" s="107"/>
      <c r="I70" s="107">
        <v>60055200</v>
      </c>
      <c r="J70" s="107">
        <v>32823000</v>
      </c>
      <c r="K70" s="107">
        <v>20232000</v>
      </c>
      <c r="L70" s="107">
        <v>19563000</v>
      </c>
      <c r="M70" s="107">
        <v>25587000</v>
      </c>
      <c r="N70" s="107">
        <v>9938000</v>
      </c>
      <c r="O70" s="107">
        <v>14817000</v>
      </c>
      <c r="P70" s="107">
        <v>28716000</v>
      </c>
      <c r="Q70" s="107">
        <v>4840000</v>
      </c>
      <c r="R70" s="107">
        <v>216571200</v>
      </c>
      <c r="S70" s="107">
        <v>399993600</v>
      </c>
      <c r="T70" s="107"/>
      <c r="U70" s="107"/>
      <c r="V70" s="107"/>
      <c r="W70" s="107">
        <v>2655846600</v>
      </c>
    </row>
    <row r="71" spans="1:24" x14ac:dyDescent="0.2">
      <c r="B71" s="107"/>
      <c r="C71" s="107"/>
      <c r="D71" s="107"/>
      <c r="E71" s="107"/>
      <c r="F71" s="107"/>
      <c r="G71" s="107"/>
      <c r="H71" s="107"/>
      <c r="I71" s="107"/>
      <c r="J71" s="107"/>
      <c r="K71" s="107"/>
      <c r="L71" s="107"/>
      <c r="M71" s="107"/>
      <c r="N71" s="107"/>
      <c r="O71" s="107"/>
      <c r="P71" s="107"/>
      <c r="Q71" s="107"/>
      <c r="R71" s="107"/>
      <c r="S71" s="107"/>
      <c r="T71" s="107"/>
      <c r="U71" s="107"/>
      <c r="V71" s="107"/>
      <c r="W71" s="107"/>
      <c r="X71" s="107"/>
    </row>
    <row r="72" spans="1:24" x14ac:dyDescent="0.2">
      <c r="A72" s="112" t="s">
        <v>44</v>
      </c>
      <c r="B72" s="107">
        <v>408000</v>
      </c>
      <c r="C72" s="107">
        <v>2454000</v>
      </c>
      <c r="D72" s="107">
        <v>5784000</v>
      </c>
      <c r="E72" s="107">
        <v>6030000</v>
      </c>
      <c r="F72" s="107">
        <v>2568000</v>
      </c>
      <c r="G72" s="107">
        <v>17244000</v>
      </c>
      <c r="H72" s="107"/>
      <c r="I72" s="107">
        <v>1494000</v>
      </c>
      <c r="J72" s="107">
        <v>3744000</v>
      </c>
      <c r="K72" s="107">
        <v>1377000</v>
      </c>
      <c r="L72" s="107">
        <v>1371000</v>
      </c>
      <c r="M72" s="107">
        <v>1998000</v>
      </c>
      <c r="N72" s="107">
        <v>978000</v>
      </c>
      <c r="O72" s="107">
        <v>1071000</v>
      </c>
      <c r="P72" s="107">
        <v>3216000</v>
      </c>
      <c r="Q72" s="107">
        <v>244000</v>
      </c>
      <c r="R72" s="107">
        <v>15493000</v>
      </c>
      <c r="S72" s="107">
        <v>32737000</v>
      </c>
      <c r="T72" s="107"/>
      <c r="U72" s="107"/>
      <c r="V72" s="107"/>
      <c r="W72" s="107"/>
      <c r="X72" s="107"/>
    </row>
    <row r="73" spans="1:24" x14ac:dyDescent="0.2">
      <c r="A73" s="112" t="s">
        <v>42</v>
      </c>
      <c r="B73" s="107">
        <v>6283200</v>
      </c>
      <c r="C73" s="107">
        <v>37530000</v>
      </c>
      <c r="D73" s="107">
        <v>49572000</v>
      </c>
      <c r="E73" s="107">
        <v>64125000</v>
      </c>
      <c r="F73" s="107">
        <v>29916000</v>
      </c>
      <c r="G73" s="107">
        <v>187426200</v>
      </c>
      <c r="H73" s="107"/>
      <c r="I73" s="107">
        <v>59280000</v>
      </c>
      <c r="J73" s="107">
        <v>36567000</v>
      </c>
      <c r="K73" s="107">
        <v>19902000</v>
      </c>
      <c r="L73" s="107">
        <v>19245000</v>
      </c>
      <c r="M73" s="107">
        <v>24804000</v>
      </c>
      <c r="N73" s="107">
        <v>10132000</v>
      </c>
      <c r="O73" s="107">
        <v>14418000</v>
      </c>
      <c r="P73" s="107">
        <v>30648000</v>
      </c>
      <c r="Q73" s="107">
        <v>5084000</v>
      </c>
      <c r="R73" s="107">
        <v>220080000</v>
      </c>
      <c r="S73" s="107">
        <v>407506200</v>
      </c>
      <c r="T73" s="107"/>
      <c r="U73" s="107"/>
      <c r="V73" s="107"/>
      <c r="W73" s="107">
        <v>2688583600</v>
      </c>
    </row>
    <row r="74" spans="1:24" x14ac:dyDescent="0.2">
      <c r="H74" s="107"/>
      <c r="W74" s="107"/>
    </row>
    <row r="75" spans="1:24" x14ac:dyDescent="0.2">
      <c r="A75" s="112" t="s">
        <v>45</v>
      </c>
      <c r="B75" s="107">
        <v>355200</v>
      </c>
      <c r="C75" s="107">
        <v>3066000</v>
      </c>
      <c r="D75" s="107">
        <v>4236000</v>
      </c>
      <c r="E75" s="107">
        <v>4797000</v>
      </c>
      <c r="F75" s="107">
        <v>2334000</v>
      </c>
      <c r="G75" s="107">
        <v>14788200</v>
      </c>
      <c r="H75" s="107"/>
      <c r="I75" s="107">
        <v>4081200</v>
      </c>
      <c r="J75" s="107">
        <v>2808000</v>
      </c>
      <c r="K75" s="107">
        <v>1596000</v>
      </c>
      <c r="L75" s="107">
        <v>1599000</v>
      </c>
      <c r="M75" s="107">
        <v>4293000</v>
      </c>
      <c r="N75" s="107">
        <v>956000</v>
      </c>
      <c r="O75" s="107">
        <v>774000</v>
      </c>
      <c r="P75" s="107">
        <v>3288000</v>
      </c>
      <c r="Q75" s="107">
        <v>2356000</v>
      </c>
      <c r="R75" s="107">
        <v>21751200</v>
      </c>
      <c r="S75" s="107">
        <v>36539400</v>
      </c>
      <c r="T75" s="107"/>
      <c r="U75" s="107"/>
      <c r="V75" s="107"/>
      <c r="W75" s="107"/>
      <c r="X75" s="107"/>
    </row>
    <row r="76" spans="1:24" x14ac:dyDescent="0.2">
      <c r="A76" s="112" t="s">
        <v>42</v>
      </c>
      <c r="B76" s="107">
        <v>5985600</v>
      </c>
      <c r="C76" s="107">
        <v>37254000</v>
      </c>
      <c r="D76" s="107">
        <v>48480000</v>
      </c>
      <c r="E76" s="107">
        <v>62298000</v>
      </c>
      <c r="F76" s="107">
        <v>29430000</v>
      </c>
      <c r="G76" s="107">
        <v>183447600</v>
      </c>
      <c r="H76" s="107"/>
      <c r="I76" s="107">
        <v>57987600</v>
      </c>
      <c r="J76" s="107">
        <v>39375000</v>
      </c>
      <c r="K76" s="107">
        <v>19773000</v>
      </c>
      <c r="L76" s="107">
        <v>19074000</v>
      </c>
      <c r="M76" s="107">
        <v>27288000</v>
      </c>
      <c r="N76" s="107">
        <v>10280000</v>
      </c>
      <c r="O76" s="107">
        <v>14322000</v>
      </c>
      <c r="P76" s="107">
        <v>31446000</v>
      </c>
      <c r="Q76" s="107">
        <v>7432000</v>
      </c>
      <c r="R76" s="107">
        <v>226977600</v>
      </c>
      <c r="S76" s="107">
        <v>410425200</v>
      </c>
      <c r="T76" s="107"/>
      <c r="U76" s="107"/>
      <c r="V76" s="107"/>
      <c r="W76" s="107">
        <v>2725123000</v>
      </c>
    </row>
    <row r="77" spans="1:24" x14ac:dyDescent="0.2">
      <c r="W77" s="107"/>
    </row>
    <row r="78" spans="1:24" x14ac:dyDescent="0.2">
      <c r="A78" s="112" t="s">
        <v>46</v>
      </c>
      <c r="B78" s="107">
        <v>115200</v>
      </c>
      <c r="C78" s="107">
        <v>2778000</v>
      </c>
      <c r="D78" s="107">
        <v>5424000</v>
      </c>
      <c r="E78" s="107">
        <v>6525000</v>
      </c>
      <c r="F78" s="107">
        <v>3216000</v>
      </c>
      <c r="G78" s="107">
        <v>18058200</v>
      </c>
      <c r="H78" s="107"/>
      <c r="I78" s="107">
        <v>4930800</v>
      </c>
      <c r="J78" s="107">
        <v>3384000</v>
      </c>
      <c r="K78" s="107">
        <v>1575000</v>
      </c>
      <c r="L78" s="107">
        <v>1437000</v>
      </c>
      <c r="M78" s="107">
        <v>3015000</v>
      </c>
      <c r="N78" s="107">
        <v>928000</v>
      </c>
      <c r="O78" s="107">
        <v>1176000</v>
      </c>
      <c r="P78" s="107">
        <v>3258000</v>
      </c>
      <c r="Q78" s="107">
        <v>108000</v>
      </c>
      <c r="R78" s="107">
        <v>19811800</v>
      </c>
      <c r="S78" s="107">
        <v>37870000</v>
      </c>
      <c r="T78" s="107"/>
      <c r="U78" s="107"/>
      <c r="V78" s="107"/>
      <c r="W78" s="107"/>
      <c r="X78" s="107"/>
    </row>
    <row r="79" spans="1:24" x14ac:dyDescent="0.2">
      <c r="A79" s="112" t="s">
        <v>42</v>
      </c>
      <c r="B79" s="107">
        <v>5366400</v>
      </c>
      <c r="C79" s="107">
        <v>36798000</v>
      </c>
      <c r="D79" s="107">
        <v>48192000</v>
      </c>
      <c r="E79" s="107">
        <v>61911000</v>
      </c>
      <c r="F79" s="107">
        <v>29196000</v>
      </c>
      <c r="G79" s="107">
        <v>181463400</v>
      </c>
      <c r="H79" s="107"/>
      <c r="I79" s="107">
        <v>57090000</v>
      </c>
      <c r="J79" s="107">
        <v>40329000</v>
      </c>
      <c r="K79" s="107">
        <v>20163000</v>
      </c>
      <c r="L79" s="107">
        <v>19422000</v>
      </c>
      <c r="M79" s="107">
        <v>26712000</v>
      </c>
      <c r="N79" s="107">
        <v>10370000</v>
      </c>
      <c r="O79" s="107">
        <v>14007000</v>
      </c>
      <c r="P79" s="107">
        <v>31266000</v>
      </c>
      <c r="Q79" s="107">
        <v>7540000</v>
      </c>
      <c r="R79" s="107">
        <v>226899000</v>
      </c>
      <c r="S79" s="107">
        <v>408362400</v>
      </c>
      <c r="T79" s="107"/>
      <c r="U79" s="107"/>
      <c r="V79" s="107"/>
      <c r="W79" s="107">
        <v>2762993000</v>
      </c>
    </row>
    <row r="80" spans="1:24" x14ac:dyDescent="0.2">
      <c r="W80" s="107"/>
    </row>
    <row r="81" spans="1:24" x14ac:dyDescent="0.2">
      <c r="A81" s="112" t="s">
        <v>47</v>
      </c>
      <c r="B81" s="107">
        <v>225600</v>
      </c>
      <c r="C81" s="107">
        <v>3396000</v>
      </c>
      <c r="D81" s="107">
        <v>5472000</v>
      </c>
      <c r="E81" s="107">
        <v>6921000</v>
      </c>
      <c r="F81" s="107">
        <v>2676000</v>
      </c>
      <c r="G81" s="107">
        <v>18690600</v>
      </c>
      <c r="H81" s="107"/>
      <c r="I81" s="107">
        <v>3748800</v>
      </c>
      <c r="J81" s="107">
        <v>1206000</v>
      </c>
      <c r="K81" s="107">
        <v>1767000</v>
      </c>
      <c r="L81" s="107">
        <v>1752000</v>
      </c>
      <c r="M81" s="107">
        <v>1620000</v>
      </c>
      <c r="N81" s="107">
        <v>884000</v>
      </c>
      <c r="O81" s="107">
        <v>1224000</v>
      </c>
      <c r="P81" s="107">
        <v>2994000</v>
      </c>
      <c r="Q81" s="107">
        <v>524000</v>
      </c>
      <c r="R81" s="107">
        <v>15719800</v>
      </c>
      <c r="S81" s="107">
        <v>34410400</v>
      </c>
      <c r="T81" s="107"/>
      <c r="U81" s="107"/>
      <c r="V81" s="107"/>
      <c r="W81" s="107"/>
      <c r="X81" s="107"/>
    </row>
    <row r="82" spans="1:24" x14ac:dyDescent="0.2">
      <c r="A82" s="112" t="s">
        <v>42</v>
      </c>
      <c r="B82" s="107">
        <v>4872000</v>
      </c>
      <c r="C82" s="107">
        <v>36816000</v>
      </c>
      <c r="D82" s="107">
        <v>48792000</v>
      </c>
      <c r="E82" s="107">
        <v>62136000</v>
      </c>
      <c r="F82" s="107">
        <v>28806000</v>
      </c>
      <c r="G82" s="107">
        <v>181422000</v>
      </c>
      <c r="H82" s="107"/>
      <c r="I82" s="107">
        <v>55077600</v>
      </c>
      <c r="J82" s="107">
        <v>40707000</v>
      </c>
      <c r="K82" s="107">
        <v>20280000</v>
      </c>
      <c r="L82" s="107">
        <v>19548000</v>
      </c>
      <c r="M82" s="107">
        <v>24975000</v>
      </c>
      <c r="N82" s="107">
        <v>10388000</v>
      </c>
      <c r="O82" s="107">
        <v>13863000</v>
      </c>
      <c r="P82" s="107">
        <v>30894000</v>
      </c>
      <c r="Q82" s="107">
        <v>7344000</v>
      </c>
      <c r="R82" s="107">
        <v>223076600</v>
      </c>
      <c r="S82" s="107">
        <v>404498600</v>
      </c>
      <c r="T82" s="107"/>
      <c r="U82" s="107"/>
      <c r="V82" s="107"/>
      <c r="W82" s="107">
        <v>2797403400</v>
      </c>
    </row>
    <row r="83" spans="1:24" x14ac:dyDescent="0.2">
      <c r="W83" s="107"/>
    </row>
    <row r="84" spans="1:24" x14ac:dyDescent="0.2">
      <c r="A84" s="112" t="s">
        <v>48</v>
      </c>
      <c r="B84" s="107">
        <v>744000</v>
      </c>
      <c r="C84" s="107">
        <v>3618000</v>
      </c>
      <c r="D84" s="107">
        <v>4320000</v>
      </c>
      <c r="E84" s="107">
        <v>7191000</v>
      </c>
      <c r="F84" s="107">
        <v>2184000</v>
      </c>
      <c r="G84" s="107">
        <v>18057000</v>
      </c>
      <c r="H84" s="107"/>
      <c r="I84" s="107">
        <v>5208000</v>
      </c>
      <c r="J84" s="107">
        <v>0</v>
      </c>
      <c r="K84" s="107">
        <v>2019000</v>
      </c>
      <c r="L84" s="107">
        <v>1944000</v>
      </c>
      <c r="M84" s="107">
        <v>4050000</v>
      </c>
      <c r="N84" s="107">
        <v>866000</v>
      </c>
      <c r="O84" s="107">
        <v>1389000</v>
      </c>
      <c r="P84" s="107">
        <v>2946000</v>
      </c>
      <c r="Q84" s="107">
        <v>0</v>
      </c>
      <c r="R84" s="107">
        <v>18422000</v>
      </c>
      <c r="S84" s="107">
        <v>36479000</v>
      </c>
      <c r="T84" s="107"/>
      <c r="U84" s="107"/>
      <c r="V84" s="107"/>
      <c r="W84" s="107"/>
      <c r="X84" s="107"/>
    </row>
    <row r="85" spans="1:24" x14ac:dyDescent="0.2">
      <c r="A85" s="112" t="s">
        <v>42</v>
      </c>
      <c r="B85" s="107">
        <v>4891200</v>
      </c>
      <c r="C85" s="107">
        <v>37044000</v>
      </c>
      <c r="D85" s="107">
        <v>48852000</v>
      </c>
      <c r="E85" s="107">
        <v>62577000</v>
      </c>
      <c r="F85" s="107">
        <v>29166000</v>
      </c>
      <c r="G85" s="107">
        <v>182530200</v>
      </c>
      <c r="H85" s="107"/>
      <c r="I85" s="107">
        <v>54448800</v>
      </c>
      <c r="J85" s="107">
        <v>37062000</v>
      </c>
      <c r="K85" s="107">
        <v>20406000</v>
      </c>
      <c r="L85" s="107">
        <v>19608000</v>
      </c>
      <c r="M85" s="107">
        <v>25812000</v>
      </c>
      <c r="N85" s="107">
        <v>10326000</v>
      </c>
      <c r="O85" s="107">
        <v>13794000</v>
      </c>
      <c r="P85" s="107">
        <v>30600000</v>
      </c>
      <c r="Q85" s="107">
        <v>4824000</v>
      </c>
      <c r="R85" s="107">
        <v>216880800</v>
      </c>
      <c r="S85" s="107">
        <v>399411000</v>
      </c>
      <c r="T85" s="107"/>
      <c r="U85" s="107"/>
      <c r="V85" s="107"/>
      <c r="W85" s="107">
        <v>2833882400</v>
      </c>
    </row>
    <row r="86" spans="1:24" x14ac:dyDescent="0.2">
      <c r="W86" s="107"/>
    </row>
    <row r="87" spans="1:24" x14ac:dyDescent="0.2">
      <c r="A87" s="112" t="s">
        <v>49</v>
      </c>
      <c r="B87" s="107">
        <v>667200</v>
      </c>
      <c r="C87" s="107">
        <v>3408000</v>
      </c>
      <c r="D87" s="107">
        <v>4380000</v>
      </c>
      <c r="E87" s="107">
        <v>7020000</v>
      </c>
      <c r="F87" s="107">
        <v>1728000</v>
      </c>
      <c r="G87" s="107">
        <v>17203200</v>
      </c>
      <c r="H87" s="107"/>
      <c r="I87" s="107">
        <v>4556400</v>
      </c>
      <c r="J87" s="107">
        <v>3096000</v>
      </c>
      <c r="K87" s="107">
        <v>1962000</v>
      </c>
      <c r="L87" s="107">
        <v>1911000</v>
      </c>
      <c r="M87" s="107">
        <v>2997000</v>
      </c>
      <c r="N87" s="107">
        <v>874000</v>
      </c>
      <c r="O87" s="107">
        <v>1482000</v>
      </c>
      <c r="P87" s="107">
        <v>2580000</v>
      </c>
      <c r="Q87" s="107">
        <v>0</v>
      </c>
      <c r="R87" s="107">
        <v>19458400</v>
      </c>
      <c r="S87" s="107">
        <v>36661600</v>
      </c>
      <c r="T87" s="107"/>
      <c r="U87" s="107"/>
      <c r="V87" s="107"/>
      <c r="W87" s="107"/>
      <c r="X87" s="107"/>
    </row>
    <row r="88" spans="1:24" x14ac:dyDescent="0.2">
      <c r="A88" s="112" t="s">
        <v>42</v>
      </c>
      <c r="B88" s="107">
        <v>5112000</v>
      </c>
      <c r="C88" s="107">
        <v>37212000</v>
      </c>
      <c r="D88" s="107">
        <v>50532000</v>
      </c>
      <c r="E88" s="107">
        <v>62703000</v>
      </c>
      <c r="F88" s="107">
        <v>28038000</v>
      </c>
      <c r="G88" s="107">
        <v>183597000</v>
      </c>
      <c r="H88" s="107"/>
      <c r="I88" s="107">
        <v>53114400</v>
      </c>
      <c r="J88" s="107">
        <v>36153000</v>
      </c>
      <c r="K88" s="107">
        <v>20406000</v>
      </c>
      <c r="L88" s="107">
        <v>19617000</v>
      </c>
      <c r="M88" s="107">
        <v>24804000</v>
      </c>
      <c r="N88" s="107">
        <v>10358000</v>
      </c>
      <c r="O88" s="107">
        <v>14010000</v>
      </c>
      <c r="P88" s="107">
        <v>29784000</v>
      </c>
      <c r="Q88" s="107">
        <v>3988000</v>
      </c>
      <c r="R88" s="107">
        <v>212234400</v>
      </c>
      <c r="S88" s="107">
        <v>395831400</v>
      </c>
      <c r="T88" s="107"/>
      <c r="U88" s="107"/>
      <c r="V88" s="107"/>
      <c r="W88" s="107">
        <v>2870544000</v>
      </c>
    </row>
    <row r="89" spans="1:24" x14ac:dyDescent="0.2">
      <c r="W89" s="107"/>
    </row>
    <row r="90" spans="1:24" x14ac:dyDescent="0.2">
      <c r="A90" s="112" t="s">
        <v>50</v>
      </c>
      <c r="B90" s="107">
        <v>734400</v>
      </c>
      <c r="C90" s="107">
        <v>3108000</v>
      </c>
      <c r="D90" s="107">
        <v>4200000</v>
      </c>
      <c r="E90" s="107">
        <v>6642000</v>
      </c>
      <c r="F90" s="107">
        <v>3042000</v>
      </c>
      <c r="G90" s="107">
        <v>17726400</v>
      </c>
      <c r="H90" s="107"/>
      <c r="I90" s="107">
        <v>5090400</v>
      </c>
      <c r="J90" s="107">
        <v>3798000</v>
      </c>
      <c r="K90" s="107">
        <v>1893000</v>
      </c>
      <c r="L90" s="107">
        <v>1845000</v>
      </c>
      <c r="M90" s="107">
        <v>3285000</v>
      </c>
      <c r="N90" s="107">
        <v>578000</v>
      </c>
      <c r="O90" s="107">
        <v>1314000</v>
      </c>
      <c r="P90" s="107">
        <v>2772000</v>
      </c>
      <c r="Q90" s="107">
        <v>836000</v>
      </c>
      <c r="R90" s="107">
        <v>21411400</v>
      </c>
      <c r="S90" s="107">
        <v>39137800</v>
      </c>
      <c r="T90" s="107"/>
      <c r="U90" s="107"/>
      <c r="V90" s="107"/>
      <c r="W90" s="107"/>
      <c r="X90" s="107"/>
    </row>
    <row r="91" spans="1:24" x14ac:dyDescent="0.2">
      <c r="A91" s="112" t="s">
        <v>42</v>
      </c>
      <c r="B91" s="107">
        <v>5160000</v>
      </c>
      <c r="C91" s="107">
        <v>37164000</v>
      </c>
      <c r="D91" s="107">
        <v>51996000</v>
      </c>
      <c r="E91" s="107">
        <v>62712000</v>
      </c>
      <c r="F91" s="107">
        <v>27816000</v>
      </c>
      <c r="G91" s="107">
        <v>184848000</v>
      </c>
      <c r="H91" s="107"/>
      <c r="I91" s="107">
        <v>52617600</v>
      </c>
      <c r="J91" s="107">
        <v>35802000</v>
      </c>
      <c r="K91" s="107">
        <v>20493000</v>
      </c>
      <c r="L91" s="107">
        <v>19728000</v>
      </c>
      <c r="M91" s="107">
        <v>26604000</v>
      </c>
      <c r="N91" s="107">
        <v>10170000</v>
      </c>
      <c r="O91" s="107">
        <v>14154000</v>
      </c>
      <c r="P91" s="107">
        <v>29226000</v>
      </c>
      <c r="Q91" s="107">
        <v>4824000</v>
      </c>
      <c r="R91" s="107">
        <v>213618600</v>
      </c>
      <c r="S91" s="107">
        <v>398466600</v>
      </c>
      <c r="T91" s="107"/>
      <c r="U91" s="107"/>
      <c r="V91" s="107"/>
      <c r="W91" s="107">
        <v>2909681800</v>
      </c>
    </row>
    <row r="92" spans="1:24" x14ac:dyDescent="0.2">
      <c r="W92" s="107"/>
    </row>
    <row r="93" spans="1:24" x14ac:dyDescent="0.2">
      <c r="A93" s="112" t="s">
        <v>51</v>
      </c>
      <c r="B93" s="107">
        <v>744000</v>
      </c>
      <c r="C93" s="107">
        <v>2526000</v>
      </c>
      <c r="D93" s="107">
        <v>4380000</v>
      </c>
      <c r="E93" s="107">
        <v>6948000</v>
      </c>
      <c r="F93" s="107">
        <v>2640000</v>
      </c>
      <c r="G93" s="107">
        <v>17238000</v>
      </c>
      <c r="H93" s="107"/>
      <c r="I93" s="107">
        <v>5434800</v>
      </c>
      <c r="J93" s="107">
        <v>4257000</v>
      </c>
      <c r="K93" s="107">
        <v>201000</v>
      </c>
      <c r="L93" s="107">
        <v>195000</v>
      </c>
      <c r="M93" s="107">
        <v>3870000</v>
      </c>
      <c r="N93" s="107">
        <v>988000</v>
      </c>
      <c r="O93" s="107">
        <v>1185000</v>
      </c>
      <c r="P93" s="107">
        <v>3138000</v>
      </c>
      <c r="Q93" s="107">
        <v>2160000</v>
      </c>
      <c r="R93" s="107">
        <v>21428800</v>
      </c>
      <c r="S93" s="107">
        <v>38666800</v>
      </c>
      <c r="T93" s="107"/>
      <c r="U93" s="107"/>
      <c r="V93" s="107"/>
      <c r="W93" s="107"/>
      <c r="X93" s="107"/>
    </row>
    <row r="94" spans="1:24" x14ac:dyDescent="0.2">
      <c r="A94" s="112" t="s">
        <v>42</v>
      </c>
      <c r="B94" s="107">
        <v>5659200</v>
      </c>
      <c r="C94" s="107">
        <v>36714000</v>
      </c>
      <c r="D94" s="107">
        <v>53580000</v>
      </c>
      <c r="E94" s="107">
        <v>62712000</v>
      </c>
      <c r="F94" s="107">
        <v>29628000</v>
      </c>
      <c r="G94" s="107">
        <v>188293200</v>
      </c>
      <c r="H94" s="107"/>
      <c r="I94" s="107">
        <v>53101200</v>
      </c>
      <c r="J94" s="107">
        <v>36639000</v>
      </c>
      <c r="K94" s="107">
        <v>18798000</v>
      </c>
      <c r="L94" s="107">
        <v>18099000</v>
      </c>
      <c r="M94" s="107">
        <v>26892000</v>
      </c>
      <c r="N94" s="107">
        <v>10370000</v>
      </c>
      <c r="O94" s="107">
        <v>13647000</v>
      </c>
      <c r="P94" s="107">
        <v>29052000</v>
      </c>
      <c r="Q94" s="107">
        <v>6984000</v>
      </c>
      <c r="R94" s="107">
        <v>213582200</v>
      </c>
      <c r="S94" s="107">
        <v>401875400</v>
      </c>
      <c r="T94" s="107"/>
      <c r="U94" s="107"/>
      <c r="V94" s="107"/>
      <c r="W94" s="107">
        <v>2948348600</v>
      </c>
    </row>
    <row r="95" spans="1:24" x14ac:dyDescent="0.2">
      <c r="W95" s="107"/>
    </row>
    <row r="96" spans="1:24" x14ac:dyDescent="0.2">
      <c r="A96" s="112" t="s">
        <v>52</v>
      </c>
      <c r="B96" s="107">
        <v>710400</v>
      </c>
      <c r="C96" s="107">
        <v>2664000</v>
      </c>
      <c r="D96" s="107">
        <v>4296000</v>
      </c>
      <c r="E96" s="107">
        <v>6732000</v>
      </c>
      <c r="F96" s="107">
        <v>2364000</v>
      </c>
      <c r="G96" s="107">
        <v>16766400</v>
      </c>
      <c r="H96" s="107"/>
      <c r="I96" s="107">
        <v>5397600</v>
      </c>
      <c r="J96" s="107">
        <v>4194000</v>
      </c>
      <c r="K96" s="107">
        <v>1224000</v>
      </c>
      <c r="L96" s="107">
        <v>1260000</v>
      </c>
      <c r="M96" s="107">
        <v>3420000</v>
      </c>
      <c r="N96" s="107">
        <v>942000</v>
      </c>
      <c r="O96" s="107">
        <v>1611000</v>
      </c>
      <c r="P96" s="107">
        <v>3054000</v>
      </c>
      <c r="Q96" s="107">
        <v>620000</v>
      </c>
      <c r="R96" s="107">
        <v>21722600</v>
      </c>
      <c r="S96" s="107">
        <v>38489000</v>
      </c>
      <c r="T96" s="107"/>
      <c r="U96" s="107"/>
      <c r="V96" s="107"/>
      <c r="W96" s="107"/>
      <c r="X96" s="107"/>
    </row>
    <row r="97" spans="1:24" x14ac:dyDescent="0.2">
      <c r="A97" s="112" t="s">
        <v>42</v>
      </c>
      <c r="B97" s="107">
        <v>5784000</v>
      </c>
      <c r="C97" s="107">
        <v>36456000</v>
      </c>
      <c r="D97" s="107">
        <v>55200000</v>
      </c>
      <c r="E97" s="107">
        <v>62847000</v>
      </c>
      <c r="F97" s="107">
        <v>29364000</v>
      </c>
      <c r="G97" s="107">
        <v>189651000</v>
      </c>
      <c r="H97" s="107"/>
      <c r="I97" s="107">
        <v>53056800</v>
      </c>
      <c r="J97" s="107">
        <v>36675000</v>
      </c>
      <c r="K97" s="107">
        <v>18612000</v>
      </c>
      <c r="L97" s="107">
        <v>17961000</v>
      </c>
      <c r="M97" s="107">
        <v>29034000</v>
      </c>
      <c r="N97" s="107">
        <v>10638000</v>
      </c>
      <c r="O97" s="107">
        <v>13953000</v>
      </c>
      <c r="P97" s="107">
        <v>31038000</v>
      </c>
      <c r="Q97" s="107">
        <v>6880000</v>
      </c>
      <c r="R97" s="107">
        <v>217847800</v>
      </c>
      <c r="S97" s="107">
        <v>407498800</v>
      </c>
      <c r="T97" s="107"/>
      <c r="U97" s="107"/>
      <c r="V97" s="107"/>
      <c r="W97" s="107">
        <v>2986837600</v>
      </c>
    </row>
    <row r="98" spans="1:24" x14ac:dyDescent="0.2">
      <c r="W98" s="107"/>
    </row>
    <row r="99" spans="1:24" x14ac:dyDescent="0.2">
      <c r="A99" s="112" t="s">
        <v>53</v>
      </c>
      <c r="B99" s="107">
        <v>734400</v>
      </c>
      <c r="C99" s="107">
        <v>3078000</v>
      </c>
      <c r="D99" s="107">
        <v>3648000</v>
      </c>
      <c r="E99" s="107">
        <v>6939000</v>
      </c>
      <c r="F99" s="107">
        <v>2880000</v>
      </c>
      <c r="G99" s="107">
        <v>17279400</v>
      </c>
      <c r="H99" s="107"/>
      <c r="I99" s="107">
        <v>5486400</v>
      </c>
      <c r="J99" s="107">
        <v>4266000</v>
      </c>
      <c r="K99" s="107">
        <v>1809000</v>
      </c>
      <c r="L99" s="107">
        <v>1758000</v>
      </c>
      <c r="M99" s="107">
        <v>0</v>
      </c>
      <c r="N99" s="107">
        <v>910000</v>
      </c>
      <c r="O99" s="107">
        <v>1566000</v>
      </c>
      <c r="P99" s="107">
        <v>336000</v>
      </c>
      <c r="Q99" s="107">
        <v>0</v>
      </c>
      <c r="R99" s="107">
        <v>16131400</v>
      </c>
      <c r="S99" s="107">
        <v>33410800</v>
      </c>
      <c r="T99" s="107"/>
      <c r="U99" s="107"/>
      <c r="V99" s="107"/>
      <c r="W99" s="107"/>
      <c r="X99" s="107"/>
    </row>
    <row r="100" spans="1:24" x14ac:dyDescent="0.2">
      <c r="A100" s="112" t="s">
        <v>42</v>
      </c>
      <c r="B100" s="107">
        <v>6321600</v>
      </c>
      <c r="C100" s="107">
        <v>36090000</v>
      </c>
      <c r="D100" s="107">
        <v>55488000</v>
      </c>
      <c r="E100" s="107">
        <v>68904000</v>
      </c>
      <c r="F100" s="107">
        <v>29322000</v>
      </c>
      <c r="G100" s="107">
        <v>196125600</v>
      </c>
      <c r="H100" s="107"/>
      <c r="I100" s="107">
        <v>52623600</v>
      </c>
      <c r="J100" s="107">
        <v>37485000</v>
      </c>
      <c r="K100" s="107">
        <v>18480000</v>
      </c>
      <c r="L100" s="107">
        <v>17979000</v>
      </c>
      <c r="M100" s="107">
        <v>28548000</v>
      </c>
      <c r="N100" s="107">
        <v>10690000</v>
      </c>
      <c r="O100" s="107">
        <v>14370000</v>
      </c>
      <c r="P100" s="107">
        <v>30126000</v>
      </c>
      <c r="Q100" s="107">
        <v>6848000</v>
      </c>
      <c r="R100" s="107">
        <v>217149600</v>
      </c>
      <c r="S100" s="107">
        <v>413275200</v>
      </c>
      <c r="T100" s="107"/>
      <c r="U100" s="107"/>
      <c r="V100" s="107"/>
      <c r="W100" s="107">
        <v>3020248400</v>
      </c>
    </row>
    <row r="101" spans="1:24" x14ac:dyDescent="0.2">
      <c r="W101" s="107"/>
    </row>
    <row r="102" spans="1:24" x14ac:dyDescent="0.2">
      <c r="W102" s="107"/>
    </row>
    <row r="103" spans="1:24" x14ac:dyDescent="0.2">
      <c r="W103" s="107"/>
    </row>
    <row r="104" spans="1:24" x14ac:dyDescent="0.2">
      <c r="W104" s="107"/>
    </row>
    <row r="105" spans="1:24" x14ac:dyDescent="0.2">
      <c r="A105" s="108" t="s">
        <v>96</v>
      </c>
      <c r="W105" s="107"/>
    </row>
    <row r="106" spans="1:24" x14ac:dyDescent="0.2">
      <c r="W106" s="107"/>
    </row>
    <row r="107" spans="1:24" x14ac:dyDescent="0.2">
      <c r="W107" s="107"/>
    </row>
    <row r="108" spans="1:24" x14ac:dyDescent="0.2">
      <c r="D108" s="108" t="s">
        <v>97</v>
      </c>
      <c r="L108" s="109">
        <f ca="1">NOW()</f>
        <v>42312.648458217591</v>
      </c>
      <c r="M108" s="110">
        <f ca="1">NOW()</f>
        <v>42312.648458217591</v>
      </c>
      <c r="O108" s="113" t="e">
        <f>#VALUE!</f>
        <v>#VALUE!</v>
      </c>
      <c r="W108" s="107"/>
    </row>
    <row r="109" spans="1:24" x14ac:dyDescent="0.2">
      <c r="D109" s="108" t="s">
        <v>2</v>
      </c>
      <c r="F109" s="108" t="s">
        <v>2</v>
      </c>
      <c r="H109" s="108" t="s">
        <v>3</v>
      </c>
      <c r="I109" s="108" t="s">
        <v>3</v>
      </c>
      <c r="J109" s="108" t="s">
        <v>4</v>
      </c>
      <c r="W109" s="107"/>
    </row>
    <row r="110" spans="1:24" x14ac:dyDescent="0.2">
      <c r="F110" s="108" t="s">
        <v>93</v>
      </c>
      <c r="W110" s="107"/>
    </row>
    <row r="111" spans="1:24" x14ac:dyDescent="0.2">
      <c r="W111" s="111" t="s">
        <v>7</v>
      </c>
    </row>
    <row r="112" spans="1:24" x14ac:dyDescent="0.2">
      <c r="B112" s="108" t="s">
        <v>94</v>
      </c>
      <c r="I112" s="108" t="s">
        <v>95</v>
      </c>
      <c r="W112" s="111" t="s">
        <v>10</v>
      </c>
    </row>
    <row r="113" spans="1:24" x14ac:dyDescent="0.2">
      <c r="B113" s="112" t="s">
        <v>11</v>
      </c>
      <c r="C113" s="112" t="s">
        <v>12</v>
      </c>
      <c r="D113" s="112" t="s">
        <v>13</v>
      </c>
      <c r="E113" s="112" t="s">
        <v>14</v>
      </c>
      <c r="F113" s="112" t="s">
        <v>15</v>
      </c>
      <c r="G113" s="112" t="s">
        <v>16</v>
      </c>
      <c r="I113" s="112" t="s">
        <v>17</v>
      </c>
      <c r="N113" s="112" t="s">
        <v>18</v>
      </c>
      <c r="O113" s="112" t="s">
        <v>19</v>
      </c>
      <c r="P113" s="112" t="s">
        <v>20</v>
      </c>
      <c r="Q113" s="112" t="s">
        <v>21</v>
      </c>
      <c r="R113" s="112" t="s">
        <v>16</v>
      </c>
      <c r="S113" s="112" t="s">
        <v>7</v>
      </c>
      <c r="T113" s="112"/>
      <c r="U113" s="112"/>
      <c r="V113" s="112"/>
      <c r="W113" s="111" t="s">
        <v>22</v>
      </c>
    </row>
    <row r="114" spans="1:24" x14ac:dyDescent="0.2">
      <c r="B114" s="112" t="s">
        <v>23</v>
      </c>
      <c r="C114" s="112" t="s">
        <v>24</v>
      </c>
      <c r="D114" s="112" t="s">
        <v>25</v>
      </c>
      <c r="E114" s="112" t="s">
        <v>26</v>
      </c>
      <c r="F114" s="112" t="s">
        <v>27</v>
      </c>
      <c r="G114" s="112" t="s">
        <v>28</v>
      </c>
      <c r="I114" s="112" t="s">
        <v>29</v>
      </c>
      <c r="J114" s="112" t="s">
        <v>30</v>
      </c>
      <c r="K114" s="112" t="s">
        <v>31</v>
      </c>
      <c r="L114" s="112" t="s">
        <v>32</v>
      </c>
      <c r="M114" s="112" t="s">
        <v>33</v>
      </c>
      <c r="N114" s="112" t="s">
        <v>34</v>
      </c>
      <c r="O114" s="112" t="s">
        <v>35</v>
      </c>
      <c r="P114" s="112" t="s">
        <v>36</v>
      </c>
      <c r="Q114" s="112" t="s">
        <v>37</v>
      </c>
      <c r="R114" s="112" t="s">
        <v>28</v>
      </c>
      <c r="S114" s="112" t="s">
        <v>10</v>
      </c>
      <c r="T114" s="112"/>
      <c r="U114" s="112"/>
      <c r="V114" s="112"/>
      <c r="W114" s="111" t="s">
        <v>38</v>
      </c>
    </row>
    <row r="115" spans="1:24" x14ac:dyDescent="0.2">
      <c r="B115" s="112" t="s">
        <v>39</v>
      </c>
      <c r="C115" s="112" t="s">
        <v>40</v>
      </c>
      <c r="D115" s="112" t="s">
        <v>40</v>
      </c>
      <c r="E115" s="112" t="s">
        <v>40</v>
      </c>
      <c r="F115" s="112" t="s">
        <v>40</v>
      </c>
      <c r="G115" s="112" t="s">
        <v>40</v>
      </c>
      <c r="H115" s="112" t="s">
        <v>40</v>
      </c>
      <c r="I115" s="112" t="s">
        <v>40</v>
      </c>
      <c r="J115" s="112" t="s">
        <v>40</v>
      </c>
      <c r="K115" s="112" t="s">
        <v>40</v>
      </c>
      <c r="L115" s="112" t="s">
        <v>40</v>
      </c>
      <c r="M115" s="112" t="s">
        <v>40</v>
      </c>
      <c r="N115" s="112" t="s">
        <v>40</v>
      </c>
      <c r="O115" s="112" t="s">
        <v>40</v>
      </c>
      <c r="P115" s="112" t="s">
        <v>40</v>
      </c>
      <c r="Q115" s="112" t="s">
        <v>40</v>
      </c>
      <c r="R115" s="112" t="s">
        <v>40</v>
      </c>
      <c r="S115" s="112" t="s">
        <v>40</v>
      </c>
      <c r="T115" s="112"/>
      <c r="U115" s="112"/>
      <c r="V115" s="112"/>
      <c r="W115" s="111" t="s">
        <v>40</v>
      </c>
    </row>
    <row r="116" spans="1:24" x14ac:dyDescent="0.2">
      <c r="A116" s="112" t="s">
        <v>41</v>
      </c>
      <c r="B116" s="107">
        <v>67200</v>
      </c>
      <c r="C116" s="107">
        <v>3270000</v>
      </c>
      <c r="D116" s="107">
        <v>3948000</v>
      </c>
      <c r="E116" s="107">
        <v>4788000</v>
      </c>
      <c r="F116" s="107">
        <v>2766000</v>
      </c>
      <c r="G116" s="107">
        <f>SUM(B116:F116)</f>
        <v>14839200</v>
      </c>
      <c r="H116" s="107"/>
      <c r="I116" s="107">
        <v>2102400</v>
      </c>
      <c r="J116" s="107">
        <v>405000</v>
      </c>
      <c r="K116" s="107">
        <v>1389000</v>
      </c>
      <c r="L116" s="107">
        <v>1350000</v>
      </c>
      <c r="M116" s="107">
        <v>0</v>
      </c>
      <c r="N116" s="107">
        <v>824000</v>
      </c>
      <c r="O116" s="107">
        <v>1692000</v>
      </c>
      <c r="P116" s="107">
        <v>1194000</v>
      </c>
      <c r="Q116" s="107">
        <v>828000</v>
      </c>
      <c r="R116" s="107">
        <f>SUM(I116:Q116)</f>
        <v>9784400</v>
      </c>
      <c r="S116" s="107">
        <f>R116+G116</f>
        <v>24623600</v>
      </c>
      <c r="T116" s="107"/>
      <c r="U116" s="107"/>
      <c r="V116" s="107"/>
      <c r="W116" s="107"/>
      <c r="X116" s="107"/>
    </row>
    <row r="117" spans="1:24" x14ac:dyDescent="0.2">
      <c r="A117" s="112" t="s">
        <v>42</v>
      </c>
      <c r="B117" s="107">
        <f t="shared" ref="B117:G117" si="11">B100+B116-B66</f>
        <v>6081600</v>
      </c>
      <c r="C117" s="107">
        <f t="shared" si="11"/>
        <v>35946000</v>
      </c>
      <c r="D117" s="107">
        <f t="shared" si="11"/>
        <v>54912000</v>
      </c>
      <c r="E117" s="107">
        <f t="shared" si="11"/>
        <v>73692000</v>
      </c>
      <c r="F117" s="107">
        <f t="shared" si="11"/>
        <v>30216000</v>
      </c>
      <c r="G117" s="107">
        <f t="shared" si="11"/>
        <v>200847600</v>
      </c>
      <c r="H117" s="107"/>
      <c r="I117" s="107">
        <f t="shared" ref="I117:S117" si="12">I100+I116-I66</f>
        <v>49735200</v>
      </c>
      <c r="J117" s="107">
        <f t="shared" si="12"/>
        <v>34092000</v>
      </c>
      <c r="K117" s="107">
        <f t="shared" si="12"/>
        <v>18006000</v>
      </c>
      <c r="L117" s="107">
        <f t="shared" si="12"/>
        <v>17535000</v>
      </c>
      <c r="M117" s="107">
        <f t="shared" si="12"/>
        <v>28548000</v>
      </c>
      <c r="N117" s="107">
        <f t="shared" si="12"/>
        <v>10608000</v>
      </c>
      <c r="O117" s="107">
        <f t="shared" si="12"/>
        <v>15147000</v>
      </c>
      <c r="P117" s="107">
        <f t="shared" si="12"/>
        <v>31008000</v>
      </c>
      <c r="Q117" s="107">
        <f t="shared" si="12"/>
        <v>7676000</v>
      </c>
      <c r="R117" s="107">
        <f t="shared" si="12"/>
        <v>212355200</v>
      </c>
      <c r="S117" s="107">
        <f t="shared" si="12"/>
        <v>413202800</v>
      </c>
      <c r="T117" s="107"/>
      <c r="U117" s="107"/>
      <c r="V117" s="107"/>
      <c r="W117" s="107">
        <f>W100+S116</f>
        <v>3044872000</v>
      </c>
    </row>
    <row r="118" spans="1:24" x14ac:dyDescent="0.2">
      <c r="H118" s="107"/>
      <c r="W118" s="107"/>
    </row>
    <row r="119" spans="1:24" x14ac:dyDescent="0.2">
      <c r="A119" s="112" t="s">
        <v>43</v>
      </c>
      <c r="B119" s="107">
        <v>0</v>
      </c>
      <c r="C119" s="107">
        <v>1722000</v>
      </c>
      <c r="D119" s="107">
        <v>3372000</v>
      </c>
      <c r="E119" s="107">
        <v>2394000</v>
      </c>
      <c r="F119" s="107">
        <v>1536000</v>
      </c>
      <c r="G119" s="107">
        <f>SUM(B119:F119)</f>
        <v>9024000</v>
      </c>
      <c r="H119" s="107"/>
      <c r="I119" s="107">
        <v>2428800</v>
      </c>
      <c r="J119" s="107">
        <v>972000</v>
      </c>
      <c r="K119" s="107">
        <v>834000</v>
      </c>
      <c r="L119" s="107">
        <v>909000</v>
      </c>
      <c r="M119" s="107">
        <v>0</v>
      </c>
      <c r="N119" s="107">
        <v>702000</v>
      </c>
      <c r="O119" s="107">
        <v>1038000</v>
      </c>
      <c r="P119" s="107">
        <v>2214000</v>
      </c>
      <c r="Q119" s="107">
        <v>192000</v>
      </c>
      <c r="R119" s="107">
        <f>SUM(I119:Q119)</f>
        <v>9289800</v>
      </c>
      <c r="S119" s="107">
        <f>R119+G119</f>
        <v>18313800</v>
      </c>
      <c r="T119" s="107"/>
      <c r="U119" s="107"/>
      <c r="V119" s="107"/>
      <c r="W119" s="107"/>
      <c r="X119" s="107"/>
    </row>
    <row r="120" spans="1:24" x14ac:dyDescent="0.2">
      <c r="A120" s="112" t="s">
        <v>42</v>
      </c>
      <c r="B120" s="107">
        <f t="shared" ref="B120:G120" si="13">B117+B119-B69</f>
        <v>5505600</v>
      </c>
      <c r="C120" s="107">
        <f t="shared" si="13"/>
        <v>35088000</v>
      </c>
      <c r="D120" s="107">
        <f t="shared" si="13"/>
        <v>53460000</v>
      </c>
      <c r="E120" s="107">
        <f t="shared" si="13"/>
        <v>72927000</v>
      </c>
      <c r="F120" s="107">
        <f t="shared" si="13"/>
        <v>29934000</v>
      </c>
      <c r="G120" s="107">
        <f t="shared" si="13"/>
        <v>196914600</v>
      </c>
      <c r="H120" s="107"/>
      <c r="I120" s="107">
        <f t="shared" ref="I120:S120" si="14">I117+I119-I69</f>
        <v>49959600</v>
      </c>
      <c r="J120" s="107">
        <f t="shared" si="14"/>
        <v>32130000</v>
      </c>
      <c r="K120" s="107">
        <f t="shared" si="14"/>
        <v>17646000</v>
      </c>
      <c r="L120" s="107">
        <f t="shared" si="14"/>
        <v>17331000</v>
      </c>
      <c r="M120" s="107">
        <f t="shared" si="14"/>
        <v>28548000</v>
      </c>
      <c r="N120" s="107">
        <f t="shared" si="14"/>
        <v>10430000</v>
      </c>
      <c r="O120" s="107">
        <f t="shared" si="14"/>
        <v>15522000</v>
      </c>
      <c r="P120" s="107">
        <f t="shared" si="14"/>
        <v>30990000</v>
      </c>
      <c r="Q120" s="107">
        <f t="shared" si="14"/>
        <v>7868000</v>
      </c>
      <c r="R120" s="107">
        <f t="shared" si="14"/>
        <v>210424600</v>
      </c>
      <c r="S120" s="107">
        <f t="shared" si="14"/>
        <v>407339200</v>
      </c>
      <c r="T120" s="107"/>
      <c r="U120" s="107"/>
      <c r="V120" s="107"/>
      <c r="W120" s="107">
        <f>W117+S119</f>
        <v>3063185800</v>
      </c>
    </row>
    <row r="121" spans="1:24" x14ac:dyDescent="0.2">
      <c r="B121" s="107"/>
      <c r="C121" s="107"/>
      <c r="D121" s="107"/>
      <c r="E121" s="107"/>
      <c r="F121" s="107"/>
      <c r="G121" s="107"/>
      <c r="H121" s="107"/>
      <c r="I121" s="107"/>
      <c r="J121" s="107"/>
      <c r="K121" s="107"/>
      <c r="L121" s="107"/>
      <c r="M121" s="107"/>
      <c r="N121" s="107"/>
      <c r="O121" s="107"/>
      <c r="P121" s="107"/>
      <c r="Q121" s="107"/>
      <c r="R121" s="107"/>
      <c r="S121" s="107"/>
      <c r="T121" s="107"/>
      <c r="U121" s="107"/>
      <c r="V121" s="107"/>
      <c r="W121" s="107"/>
      <c r="X121" s="107"/>
    </row>
    <row r="122" spans="1:24" x14ac:dyDescent="0.2">
      <c r="A122" s="112" t="s">
        <v>44</v>
      </c>
      <c r="B122" s="107">
        <v>0</v>
      </c>
      <c r="C122" s="107">
        <v>3474000</v>
      </c>
      <c r="D122" s="107">
        <v>84000</v>
      </c>
      <c r="E122" s="107">
        <v>0</v>
      </c>
      <c r="F122" s="107">
        <v>1530000</v>
      </c>
      <c r="G122" s="107">
        <f>SUM(B122:F122)</f>
        <v>5088000</v>
      </c>
      <c r="H122" s="107"/>
      <c r="I122" s="107">
        <v>0</v>
      </c>
      <c r="J122" s="107">
        <v>0</v>
      </c>
      <c r="K122" s="107">
        <v>1830000</v>
      </c>
      <c r="L122" s="107">
        <v>1779000</v>
      </c>
      <c r="M122" s="107">
        <v>0</v>
      </c>
      <c r="N122" s="107">
        <v>280000</v>
      </c>
      <c r="O122" s="107">
        <v>831000</v>
      </c>
      <c r="P122" s="107">
        <v>24000</v>
      </c>
      <c r="Q122" s="107">
        <v>0</v>
      </c>
      <c r="R122" s="107">
        <f>SUM(I122:Q122)</f>
        <v>4744000</v>
      </c>
      <c r="S122" s="107">
        <f>R122+G122</f>
        <v>9832000</v>
      </c>
      <c r="T122" s="107"/>
      <c r="U122" s="107"/>
      <c r="V122" s="107"/>
      <c r="W122" s="107"/>
      <c r="X122" s="107"/>
    </row>
    <row r="123" spans="1:24" x14ac:dyDescent="0.2">
      <c r="A123" s="112" t="s">
        <v>42</v>
      </c>
      <c r="B123" s="107">
        <f t="shared" ref="B123:G123" si="15">B120+B122-B72</f>
        <v>5097600</v>
      </c>
      <c r="C123" s="107">
        <f t="shared" si="15"/>
        <v>36108000</v>
      </c>
      <c r="D123" s="107">
        <f t="shared" si="15"/>
        <v>47760000</v>
      </c>
      <c r="E123" s="107">
        <f t="shared" si="15"/>
        <v>66897000</v>
      </c>
      <c r="F123" s="107">
        <f t="shared" si="15"/>
        <v>28896000</v>
      </c>
      <c r="G123" s="107">
        <f t="shared" si="15"/>
        <v>184758600</v>
      </c>
      <c r="H123" s="107"/>
      <c r="I123" s="107">
        <f t="shared" ref="I123:S123" si="16">I120+I122-I72</f>
        <v>48465600</v>
      </c>
      <c r="J123" s="107">
        <f t="shared" si="16"/>
        <v>28386000</v>
      </c>
      <c r="K123" s="107">
        <f t="shared" si="16"/>
        <v>18099000</v>
      </c>
      <c r="L123" s="107">
        <f t="shared" si="16"/>
        <v>17739000</v>
      </c>
      <c r="M123" s="107">
        <f t="shared" si="16"/>
        <v>26550000</v>
      </c>
      <c r="N123" s="107">
        <f t="shared" si="16"/>
        <v>9732000</v>
      </c>
      <c r="O123" s="107">
        <f t="shared" si="16"/>
        <v>15282000</v>
      </c>
      <c r="P123" s="107">
        <f t="shared" si="16"/>
        <v>27798000</v>
      </c>
      <c r="Q123" s="107">
        <f t="shared" si="16"/>
        <v>7624000</v>
      </c>
      <c r="R123" s="107">
        <f t="shared" si="16"/>
        <v>199675600</v>
      </c>
      <c r="S123" s="107">
        <f t="shared" si="16"/>
        <v>384434200</v>
      </c>
      <c r="T123" s="107"/>
      <c r="U123" s="107"/>
      <c r="V123" s="107"/>
      <c r="W123" s="107">
        <f>W120+S122</f>
        <v>3073017800</v>
      </c>
    </row>
    <row r="124" spans="1:24" x14ac:dyDescent="0.2">
      <c r="H124" s="107"/>
      <c r="W124" s="107"/>
    </row>
    <row r="125" spans="1:24" x14ac:dyDescent="0.2">
      <c r="A125" s="112" t="s">
        <v>45</v>
      </c>
      <c r="B125" s="107">
        <v>0</v>
      </c>
      <c r="C125" s="107">
        <v>3276000</v>
      </c>
      <c r="D125" s="107">
        <v>528000</v>
      </c>
      <c r="E125" s="107">
        <v>477000</v>
      </c>
      <c r="F125" s="107">
        <v>1668000</v>
      </c>
      <c r="G125" s="107">
        <f>SUM(B125:F125)</f>
        <v>5949000</v>
      </c>
      <c r="H125" s="107"/>
      <c r="I125" s="107">
        <v>0</v>
      </c>
      <c r="J125" s="107">
        <v>0</v>
      </c>
      <c r="K125" s="107">
        <v>1704000</v>
      </c>
      <c r="L125" s="107">
        <v>1602000</v>
      </c>
      <c r="M125" s="107">
        <v>0</v>
      </c>
      <c r="N125" s="107">
        <v>520000</v>
      </c>
      <c r="O125" s="107">
        <v>1317000</v>
      </c>
      <c r="P125" s="107">
        <v>0</v>
      </c>
      <c r="Q125" s="107">
        <v>0</v>
      </c>
      <c r="R125" s="107">
        <f>SUM(I125:Q125)</f>
        <v>5143000</v>
      </c>
      <c r="S125" s="107">
        <f>R125+G125</f>
        <v>11092000</v>
      </c>
      <c r="T125" s="107"/>
      <c r="U125" s="107"/>
      <c r="V125" s="107"/>
      <c r="W125" s="107"/>
      <c r="X125" s="107"/>
    </row>
    <row r="126" spans="1:24" x14ac:dyDescent="0.2">
      <c r="A126" s="112" t="s">
        <v>42</v>
      </c>
      <c r="B126" s="107">
        <f t="shared" ref="B126:G126" si="17">B123+B125-B75</f>
        <v>4742400</v>
      </c>
      <c r="C126" s="107">
        <f t="shared" si="17"/>
        <v>36318000</v>
      </c>
      <c r="D126" s="107">
        <f t="shared" si="17"/>
        <v>44052000</v>
      </c>
      <c r="E126" s="107">
        <f t="shared" si="17"/>
        <v>62577000</v>
      </c>
      <c r="F126" s="107">
        <f t="shared" si="17"/>
        <v>28230000</v>
      </c>
      <c r="G126" s="107">
        <f t="shared" si="17"/>
        <v>175919400</v>
      </c>
      <c r="H126" s="107"/>
      <c r="I126" s="107">
        <f t="shared" ref="I126:S126" si="18">I123+I125-I75</f>
        <v>44384400</v>
      </c>
      <c r="J126" s="107">
        <f t="shared" si="18"/>
        <v>25578000</v>
      </c>
      <c r="K126" s="107">
        <f t="shared" si="18"/>
        <v>18207000</v>
      </c>
      <c r="L126" s="107">
        <f t="shared" si="18"/>
        <v>17742000</v>
      </c>
      <c r="M126" s="107">
        <f t="shared" si="18"/>
        <v>22257000</v>
      </c>
      <c r="N126" s="107">
        <f t="shared" si="18"/>
        <v>9296000</v>
      </c>
      <c r="O126" s="107">
        <f t="shared" si="18"/>
        <v>15825000</v>
      </c>
      <c r="P126" s="107">
        <f t="shared" si="18"/>
        <v>24510000</v>
      </c>
      <c r="Q126" s="107">
        <f t="shared" si="18"/>
        <v>5268000</v>
      </c>
      <c r="R126" s="107">
        <f t="shared" si="18"/>
        <v>183067400</v>
      </c>
      <c r="S126" s="107">
        <f t="shared" si="18"/>
        <v>358986800</v>
      </c>
      <c r="T126" s="107"/>
      <c r="U126" s="107"/>
      <c r="V126" s="107"/>
      <c r="W126" s="107">
        <f>W123+S125</f>
        <v>3084109800</v>
      </c>
    </row>
    <row r="127" spans="1:24" x14ac:dyDescent="0.2">
      <c r="H127" s="107"/>
      <c r="W127" s="107"/>
    </row>
    <row r="128" spans="1:24" x14ac:dyDescent="0.2">
      <c r="A128" s="112" t="s">
        <v>46</v>
      </c>
      <c r="B128" s="107">
        <v>0</v>
      </c>
      <c r="C128" s="107">
        <v>3450000</v>
      </c>
      <c r="D128" s="107">
        <v>2508000</v>
      </c>
      <c r="E128" s="107">
        <v>1503000</v>
      </c>
      <c r="F128" s="107">
        <v>2952000</v>
      </c>
      <c r="G128" s="107">
        <f>SUM(B128:F128)</f>
        <v>10413000</v>
      </c>
      <c r="H128" s="107"/>
      <c r="I128" s="107">
        <v>0</v>
      </c>
      <c r="J128" s="107">
        <v>0</v>
      </c>
      <c r="K128" s="107">
        <v>1974000</v>
      </c>
      <c r="L128" s="107">
        <v>1905000</v>
      </c>
      <c r="M128" s="107">
        <v>0</v>
      </c>
      <c r="N128" s="107">
        <v>826000</v>
      </c>
      <c r="O128" s="107">
        <v>1536000</v>
      </c>
      <c r="P128" s="107">
        <v>0</v>
      </c>
      <c r="Q128" s="107">
        <v>0</v>
      </c>
      <c r="R128" s="107">
        <f>SUM(I128:Q128)</f>
        <v>6241000</v>
      </c>
      <c r="S128" s="107">
        <f>R128+G128</f>
        <v>16654000</v>
      </c>
      <c r="T128" s="107"/>
      <c r="U128" s="107"/>
      <c r="V128" s="107"/>
      <c r="W128" s="107"/>
      <c r="X128" s="107"/>
    </row>
    <row r="129" spans="1:24" x14ac:dyDescent="0.2">
      <c r="A129" s="112" t="s">
        <v>42</v>
      </c>
      <c r="B129" s="107">
        <f t="shared" ref="B129:G129" si="19">B126+B128-B78</f>
        <v>4627200</v>
      </c>
      <c r="C129" s="107">
        <f t="shared" si="19"/>
        <v>36990000</v>
      </c>
      <c r="D129" s="107">
        <f t="shared" si="19"/>
        <v>41136000</v>
      </c>
      <c r="E129" s="107">
        <f t="shared" si="19"/>
        <v>57555000</v>
      </c>
      <c r="F129" s="107">
        <f t="shared" si="19"/>
        <v>27966000</v>
      </c>
      <c r="G129" s="107">
        <f t="shared" si="19"/>
        <v>168274200</v>
      </c>
      <c r="H129" s="107"/>
      <c r="I129" s="107">
        <f t="shared" ref="I129:S129" si="20">I126+I128-I78</f>
        <v>39453600</v>
      </c>
      <c r="J129" s="107">
        <f t="shared" si="20"/>
        <v>22194000</v>
      </c>
      <c r="K129" s="107">
        <f t="shared" si="20"/>
        <v>18606000</v>
      </c>
      <c r="L129" s="107">
        <f t="shared" si="20"/>
        <v>18210000</v>
      </c>
      <c r="M129" s="107">
        <f t="shared" si="20"/>
        <v>19242000</v>
      </c>
      <c r="N129" s="107">
        <f t="shared" si="20"/>
        <v>9194000</v>
      </c>
      <c r="O129" s="107">
        <f t="shared" si="20"/>
        <v>16185000</v>
      </c>
      <c r="P129" s="107">
        <f t="shared" si="20"/>
        <v>21252000</v>
      </c>
      <c r="Q129" s="107">
        <f t="shared" si="20"/>
        <v>5160000</v>
      </c>
      <c r="R129" s="107">
        <f t="shared" si="20"/>
        <v>169496600</v>
      </c>
      <c r="S129" s="107">
        <f t="shared" si="20"/>
        <v>337770800</v>
      </c>
      <c r="T129" s="107"/>
      <c r="U129" s="107"/>
      <c r="V129" s="107"/>
      <c r="W129" s="107">
        <f>W126+S128</f>
        <v>3100763800</v>
      </c>
    </row>
    <row r="130" spans="1:24" x14ac:dyDescent="0.2">
      <c r="H130" s="107"/>
      <c r="W130" s="107"/>
    </row>
    <row r="131" spans="1:24" x14ac:dyDescent="0.2">
      <c r="A131" s="112" t="s">
        <v>47</v>
      </c>
      <c r="B131" s="107">
        <v>0</v>
      </c>
      <c r="C131" s="107">
        <v>3426000</v>
      </c>
      <c r="D131" s="107">
        <v>1812000</v>
      </c>
      <c r="E131" s="107">
        <v>4986000</v>
      </c>
      <c r="F131" s="107">
        <v>3090000</v>
      </c>
      <c r="G131" s="107">
        <f>SUM(B131:F131)</f>
        <v>13314000</v>
      </c>
      <c r="H131" s="107"/>
      <c r="I131" s="107">
        <v>0</v>
      </c>
      <c r="J131" s="107">
        <v>0</v>
      </c>
      <c r="K131" s="107">
        <v>1872000</v>
      </c>
      <c r="L131" s="107">
        <v>1788000</v>
      </c>
      <c r="M131" s="107">
        <v>0</v>
      </c>
      <c r="N131" s="107">
        <v>814000</v>
      </c>
      <c r="O131" s="107">
        <v>1509000</v>
      </c>
      <c r="P131" s="107">
        <v>108000</v>
      </c>
      <c r="Q131" s="107">
        <v>0</v>
      </c>
      <c r="R131" s="107">
        <f>SUM(I131:Q131)</f>
        <v>6091000</v>
      </c>
      <c r="S131" s="107">
        <f>R131+G131</f>
        <v>19405000</v>
      </c>
      <c r="T131" s="107"/>
      <c r="U131" s="107"/>
      <c r="V131" s="107"/>
      <c r="W131" s="107"/>
      <c r="X131" s="107"/>
    </row>
    <row r="132" spans="1:24" x14ac:dyDescent="0.2">
      <c r="A132" s="112" t="s">
        <v>42</v>
      </c>
      <c r="B132" s="107">
        <f t="shared" ref="B132:G132" si="21">B129+B131-B81</f>
        <v>4401600</v>
      </c>
      <c r="C132" s="107">
        <f t="shared" si="21"/>
        <v>37020000</v>
      </c>
      <c r="D132" s="107">
        <f t="shared" si="21"/>
        <v>37476000</v>
      </c>
      <c r="E132" s="107">
        <f t="shared" si="21"/>
        <v>55620000</v>
      </c>
      <c r="F132" s="107">
        <f t="shared" si="21"/>
        <v>28380000</v>
      </c>
      <c r="G132" s="107">
        <f t="shared" si="21"/>
        <v>162897600</v>
      </c>
      <c r="H132" s="107"/>
      <c r="I132" s="107">
        <f t="shared" ref="I132:S132" si="22">I129+I131-I81</f>
        <v>35704800</v>
      </c>
      <c r="J132" s="107">
        <f t="shared" si="22"/>
        <v>20988000</v>
      </c>
      <c r="K132" s="107">
        <f t="shared" si="22"/>
        <v>18711000</v>
      </c>
      <c r="L132" s="107">
        <f t="shared" si="22"/>
        <v>18246000</v>
      </c>
      <c r="M132" s="107">
        <f t="shared" si="22"/>
        <v>17622000</v>
      </c>
      <c r="N132" s="107">
        <f t="shared" si="22"/>
        <v>9124000</v>
      </c>
      <c r="O132" s="107">
        <f t="shared" si="22"/>
        <v>16470000</v>
      </c>
      <c r="P132" s="107">
        <f t="shared" si="22"/>
        <v>18366000</v>
      </c>
      <c r="Q132" s="107">
        <f t="shared" si="22"/>
        <v>4636000</v>
      </c>
      <c r="R132" s="107">
        <f t="shared" si="22"/>
        <v>159867800</v>
      </c>
      <c r="S132" s="107">
        <f t="shared" si="22"/>
        <v>322765400</v>
      </c>
      <c r="T132" s="107"/>
      <c r="U132" s="107"/>
      <c r="V132" s="107"/>
      <c r="W132" s="107">
        <f>W129+S131</f>
        <v>3120168800</v>
      </c>
    </row>
    <row r="133" spans="1:24" x14ac:dyDescent="0.2">
      <c r="H133" s="107"/>
      <c r="W133" s="107"/>
    </row>
    <row r="134" spans="1:24" x14ac:dyDescent="0.2">
      <c r="A134" s="112" t="s">
        <v>48</v>
      </c>
      <c r="B134" s="107">
        <v>0</v>
      </c>
      <c r="C134" s="107">
        <v>2586000</v>
      </c>
      <c r="D134" s="107">
        <v>4452000</v>
      </c>
      <c r="E134" s="107">
        <v>4455000</v>
      </c>
      <c r="F134" s="107">
        <v>3276000</v>
      </c>
      <c r="G134" s="107">
        <f>SUM(B134:F134)</f>
        <v>14769000</v>
      </c>
      <c r="H134" s="107"/>
      <c r="I134" s="107">
        <v>0</v>
      </c>
      <c r="J134" s="107">
        <v>0</v>
      </c>
      <c r="K134" s="107">
        <v>1953000</v>
      </c>
      <c r="L134" s="107">
        <v>1782000</v>
      </c>
      <c r="M134" s="107">
        <v>207000</v>
      </c>
      <c r="N134" s="107">
        <v>914000</v>
      </c>
      <c r="O134" s="107">
        <v>1521000</v>
      </c>
      <c r="P134" s="107">
        <v>42000</v>
      </c>
      <c r="Q134" s="107">
        <v>0</v>
      </c>
      <c r="R134" s="107">
        <f>SUM(I134:Q134)</f>
        <v>6419000</v>
      </c>
      <c r="S134" s="107">
        <f>R134+G134</f>
        <v>21188000</v>
      </c>
      <c r="T134" s="107"/>
      <c r="U134" s="107"/>
      <c r="V134" s="107"/>
      <c r="W134" s="107"/>
      <c r="X134" s="107"/>
    </row>
    <row r="135" spans="1:24" x14ac:dyDescent="0.2">
      <c r="A135" s="112" t="s">
        <v>42</v>
      </c>
      <c r="B135" s="107">
        <f t="shared" ref="B135:G135" si="23">B132+B134-B84</f>
        <v>3657600</v>
      </c>
      <c r="C135" s="107">
        <f t="shared" si="23"/>
        <v>35988000</v>
      </c>
      <c r="D135" s="107">
        <f t="shared" si="23"/>
        <v>37608000</v>
      </c>
      <c r="E135" s="107">
        <f t="shared" si="23"/>
        <v>52884000</v>
      </c>
      <c r="F135" s="107">
        <f t="shared" si="23"/>
        <v>29472000</v>
      </c>
      <c r="G135" s="107">
        <f t="shared" si="23"/>
        <v>159609600</v>
      </c>
      <c r="H135" s="107"/>
      <c r="I135" s="107">
        <f t="shared" ref="I135:S135" si="24">I132+I134-I84</f>
        <v>30496800</v>
      </c>
      <c r="J135" s="107">
        <f t="shared" si="24"/>
        <v>20988000</v>
      </c>
      <c r="K135" s="107">
        <f t="shared" si="24"/>
        <v>18645000</v>
      </c>
      <c r="L135" s="107">
        <f t="shared" si="24"/>
        <v>18084000</v>
      </c>
      <c r="M135" s="107">
        <f t="shared" si="24"/>
        <v>13779000</v>
      </c>
      <c r="N135" s="107">
        <f t="shared" si="24"/>
        <v>9172000</v>
      </c>
      <c r="O135" s="107">
        <f t="shared" si="24"/>
        <v>16602000</v>
      </c>
      <c r="P135" s="107">
        <f t="shared" si="24"/>
        <v>15462000</v>
      </c>
      <c r="Q135" s="107">
        <f t="shared" si="24"/>
        <v>4636000</v>
      </c>
      <c r="R135" s="107">
        <f t="shared" si="24"/>
        <v>147864800</v>
      </c>
      <c r="S135" s="107">
        <f t="shared" si="24"/>
        <v>307474400</v>
      </c>
      <c r="T135" s="107"/>
      <c r="U135" s="107"/>
      <c r="V135" s="107"/>
      <c r="W135" s="107">
        <f>W132+S134</f>
        <v>3141356800</v>
      </c>
    </row>
    <row r="136" spans="1:24" x14ac:dyDescent="0.2">
      <c r="H136" s="107"/>
      <c r="W136" s="107"/>
    </row>
    <row r="137" spans="1:24" x14ac:dyDescent="0.2">
      <c r="A137" s="112" t="s">
        <v>49</v>
      </c>
      <c r="B137" s="107">
        <v>0</v>
      </c>
      <c r="C137" s="107">
        <v>3384000</v>
      </c>
      <c r="D137" s="107">
        <v>5676000</v>
      </c>
      <c r="E137" s="107">
        <v>882000</v>
      </c>
      <c r="F137" s="107">
        <v>2958000</v>
      </c>
      <c r="G137" s="107">
        <f>SUM(B137:F137)</f>
        <v>12900000</v>
      </c>
      <c r="H137" s="107"/>
      <c r="I137" s="107">
        <v>372000</v>
      </c>
      <c r="J137" s="107">
        <v>0</v>
      </c>
      <c r="K137" s="107">
        <v>1791000</v>
      </c>
      <c r="L137" s="107">
        <v>1773000</v>
      </c>
      <c r="M137" s="107">
        <v>207000</v>
      </c>
      <c r="N137" s="107">
        <v>898000</v>
      </c>
      <c r="O137" s="107">
        <v>1413000</v>
      </c>
      <c r="P137" s="107">
        <v>0</v>
      </c>
      <c r="Q137" s="107">
        <v>0</v>
      </c>
      <c r="R137" s="107">
        <f>SUM(I137:Q137)</f>
        <v>6454000</v>
      </c>
      <c r="S137" s="107">
        <f>R137+G137</f>
        <v>19354000</v>
      </c>
      <c r="T137" s="107"/>
      <c r="U137" s="107"/>
      <c r="V137" s="107"/>
      <c r="W137" s="107"/>
      <c r="X137" s="107"/>
    </row>
    <row r="138" spans="1:24" x14ac:dyDescent="0.2">
      <c r="A138" s="112" t="s">
        <v>42</v>
      </c>
      <c r="B138" s="107">
        <f t="shared" ref="B138:G138" si="25">B135+B137-B87</f>
        <v>2990400</v>
      </c>
      <c r="C138" s="107">
        <f t="shared" si="25"/>
        <v>35964000</v>
      </c>
      <c r="D138" s="107">
        <f t="shared" si="25"/>
        <v>38904000</v>
      </c>
      <c r="E138" s="107">
        <f t="shared" si="25"/>
        <v>46746000</v>
      </c>
      <c r="F138" s="107">
        <f t="shared" si="25"/>
        <v>30702000</v>
      </c>
      <c r="G138" s="107">
        <f t="shared" si="25"/>
        <v>155306400</v>
      </c>
      <c r="H138" s="107"/>
      <c r="I138" s="107">
        <f t="shared" ref="I138:S138" si="26">I135+I137-I87</f>
        <v>26312400</v>
      </c>
      <c r="J138" s="107">
        <f t="shared" si="26"/>
        <v>17892000</v>
      </c>
      <c r="K138" s="107">
        <f t="shared" si="26"/>
        <v>18474000</v>
      </c>
      <c r="L138" s="107">
        <f t="shared" si="26"/>
        <v>17946000</v>
      </c>
      <c r="M138" s="107">
        <f t="shared" si="26"/>
        <v>10989000</v>
      </c>
      <c r="N138" s="107">
        <f t="shared" si="26"/>
        <v>9196000</v>
      </c>
      <c r="O138" s="107">
        <f t="shared" si="26"/>
        <v>16533000</v>
      </c>
      <c r="P138" s="107">
        <f t="shared" si="26"/>
        <v>12882000</v>
      </c>
      <c r="Q138" s="107">
        <f t="shared" si="26"/>
        <v>4636000</v>
      </c>
      <c r="R138" s="107">
        <f t="shared" si="26"/>
        <v>134860400</v>
      </c>
      <c r="S138" s="107">
        <f t="shared" si="26"/>
        <v>290166800</v>
      </c>
      <c r="T138" s="107"/>
      <c r="U138" s="107"/>
      <c r="V138" s="107"/>
      <c r="W138" s="107">
        <f>W135+S137</f>
        <v>3160710800</v>
      </c>
    </row>
    <row r="139" spans="1:24" x14ac:dyDescent="0.2">
      <c r="H139" s="107"/>
      <c r="W139" s="107"/>
    </row>
    <row r="140" spans="1:24" x14ac:dyDescent="0.2">
      <c r="A140" s="112" t="s">
        <v>50</v>
      </c>
      <c r="B140" s="107">
        <v>0</v>
      </c>
      <c r="C140" s="107">
        <v>2964000</v>
      </c>
      <c r="D140" s="107">
        <v>5556000</v>
      </c>
      <c r="E140" s="107">
        <v>2115000</v>
      </c>
      <c r="F140" s="107">
        <v>1848000</v>
      </c>
      <c r="G140" s="107">
        <f>SUM(B140:F140)</f>
        <v>12483000</v>
      </c>
      <c r="H140" s="107"/>
      <c r="I140" s="107">
        <v>4068000</v>
      </c>
      <c r="J140" s="107">
        <v>2448000</v>
      </c>
      <c r="K140" s="107">
        <v>1377000</v>
      </c>
      <c r="L140" s="107">
        <v>1323000</v>
      </c>
      <c r="M140" s="107">
        <v>0</v>
      </c>
      <c r="N140" s="107">
        <v>844000</v>
      </c>
      <c r="O140" s="107">
        <v>1029000</v>
      </c>
      <c r="P140" s="107">
        <v>78000</v>
      </c>
      <c r="Q140" s="107">
        <v>0</v>
      </c>
      <c r="R140" s="107">
        <f>SUM(I140:Q140)</f>
        <v>11167000</v>
      </c>
      <c r="S140" s="107">
        <f>R140+G140</f>
        <v>23650000</v>
      </c>
      <c r="T140" s="107"/>
      <c r="U140" s="107"/>
      <c r="V140" s="107"/>
      <c r="W140" s="107"/>
      <c r="X140" s="107"/>
    </row>
    <row r="141" spans="1:24" x14ac:dyDescent="0.2">
      <c r="A141" s="112" t="s">
        <v>42</v>
      </c>
      <c r="B141" s="107">
        <f t="shared" ref="B141:G141" si="27">B138+B140-B90</f>
        <v>2256000</v>
      </c>
      <c r="C141" s="107">
        <f t="shared" si="27"/>
        <v>35820000</v>
      </c>
      <c r="D141" s="107">
        <f t="shared" si="27"/>
        <v>40260000</v>
      </c>
      <c r="E141" s="107">
        <f t="shared" si="27"/>
        <v>42219000</v>
      </c>
      <c r="F141" s="107">
        <f t="shared" si="27"/>
        <v>29508000</v>
      </c>
      <c r="G141" s="107">
        <f t="shared" si="27"/>
        <v>150063000</v>
      </c>
      <c r="H141" s="107"/>
      <c r="I141" s="107">
        <f t="shared" ref="I141:S141" si="28">I138+I140-I90</f>
        <v>25290000</v>
      </c>
      <c r="J141" s="107">
        <f t="shared" si="28"/>
        <v>16542000</v>
      </c>
      <c r="K141" s="107">
        <f t="shared" si="28"/>
        <v>17958000</v>
      </c>
      <c r="L141" s="107">
        <f t="shared" si="28"/>
        <v>17424000</v>
      </c>
      <c r="M141" s="107">
        <f t="shared" si="28"/>
        <v>7704000</v>
      </c>
      <c r="N141" s="107">
        <f t="shared" si="28"/>
        <v>9462000</v>
      </c>
      <c r="O141" s="107">
        <f t="shared" si="28"/>
        <v>16248000</v>
      </c>
      <c r="P141" s="107">
        <f t="shared" si="28"/>
        <v>10188000</v>
      </c>
      <c r="Q141" s="107">
        <f t="shared" si="28"/>
        <v>3800000</v>
      </c>
      <c r="R141" s="107">
        <f t="shared" si="28"/>
        <v>124616000</v>
      </c>
      <c r="S141" s="107">
        <f t="shared" si="28"/>
        <v>274679000</v>
      </c>
      <c r="T141" s="107"/>
      <c r="U141" s="107"/>
      <c r="V141" s="107"/>
      <c r="W141" s="107">
        <f>W138+S140</f>
        <v>3184360800</v>
      </c>
    </row>
    <row r="142" spans="1:24" x14ac:dyDescent="0.2">
      <c r="H142" s="107"/>
      <c r="W142" s="107"/>
    </row>
    <row r="143" spans="1:24" x14ac:dyDescent="0.2">
      <c r="A143" s="112" t="s">
        <v>51</v>
      </c>
      <c r="B143" s="107">
        <v>696000</v>
      </c>
      <c r="C143" s="107">
        <v>2904000</v>
      </c>
      <c r="D143" s="107">
        <v>4956000</v>
      </c>
      <c r="E143" s="107">
        <v>4491000</v>
      </c>
      <c r="F143" s="107">
        <v>3090000</v>
      </c>
      <c r="G143" s="107">
        <f>SUM(B143:F143)</f>
        <v>16137000</v>
      </c>
      <c r="H143" s="107"/>
      <c r="I143" s="107">
        <v>5760000</v>
      </c>
      <c r="J143" s="107">
        <v>3816000</v>
      </c>
      <c r="K143" s="107">
        <v>1440000</v>
      </c>
      <c r="L143" s="107">
        <v>1476000</v>
      </c>
      <c r="M143" s="107">
        <v>1440000</v>
      </c>
      <c r="N143" s="107">
        <v>870000</v>
      </c>
      <c r="O143" s="107">
        <v>837000</v>
      </c>
      <c r="P143" s="107">
        <v>2370000</v>
      </c>
      <c r="Q143" s="107">
        <v>2404000</v>
      </c>
      <c r="R143" s="107">
        <f>SUM(I143:Q143)</f>
        <v>20413000</v>
      </c>
      <c r="S143" s="107">
        <f>R143+G143</f>
        <v>36550000</v>
      </c>
      <c r="T143" s="107"/>
      <c r="U143" s="107"/>
      <c r="V143" s="107"/>
      <c r="W143" s="107"/>
      <c r="X143" s="107"/>
    </row>
    <row r="144" spans="1:24" x14ac:dyDescent="0.2">
      <c r="A144" s="112" t="s">
        <v>42</v>
      </c>
      <c r="B144" s="107">
        <f t="shared" ref="B144:G144" si="29">B141+B143-B93</f>
        <v>2208000</v>
      </c>
      <c r="C144" s="107">
        <f t="shared" si="29"/>
        <v>36198000</v>
      </c>
      <c r="D144" s="107">
        <f t="shared" si="29"/>
        <v>40836000</v>
      </c>
      <c r="E144" s="107">
        <f t="shared" si="29"/>
        <v>39762000</v>
      </c>
      <c r="F144" s="107">
        <f t="shared" si="29"/>
        <v>29958000</v>
      </c>
      <c r="G144" s="107">
        <f t="shared" si="29"/>
        <v>148962000</v>
      </c>
      <c r="H144" s="107"/>
      <c r="I144" s="107">
        <f t="shared" ref="I144:S144" si="30">I141+I143-I93</f>
        <v>25615200</v>
      </c>
      <c r="J144" s="107">
        <f t="shared" si="30"/>
        <v>16101000</v>
      </c>
      <c r="K144" s="107">
        <f t="shared" si="30"/>
        <v>19197000</v>
      </c>
      <c r="L144" s="107">
        <f t="shared" si="30"/>
        <v>18705000</v>
      </c>
      <c r="M144" s="107">
        <f t="shared" si="30"/>
        <v>5274000</v>
      </c>
      <c r="N144" s="107">
        <f t="shared" si="30"/>
        <v>9344000</v>
      </c>
      <c r="O144" s="107">
        <f t="shared" si="30"/>
        <v>15900000</v>
      </c>
      <c r="P144" s="107">
        <f t="shared" si="30"/>
        <v>9420000</v>
      </c>
      <c r="Q144" s="107">
        <f t="shared" si="30"/>
        <v>4044000</v>
      </c>
      <c r="R144" s="107">
        <f t="shared" si="30"/>
        <v>123600200</v>
      </c>
      <c r="S144" s="107">
        <f t="shared" si="30"/>
        <v>272562200</v>
      </c>
      <c r="T144" s="107"/>
      <c r="U144" s="107"/>
      <c r="V144" s="107"/>
      <c r="W144" s="107">
        <f>W141+S143</f>
        <v>3220910800</v>
      </c>
    </row>
    <row r="145" spans="1:24" x14ac:dyDescent="0.2">
      <c r="H145" s="107"/>
      <c r="W145" s="107"/>
    </row>
    <row r="146" spans="1:24" x14ac:dyDescent="0.2">
      <c r="A146" s="112" t="s">
        <v>52</v>
      </c>
      <c r="B146" s="107">
        <v>724800</v>
      </c>
      <c r="C146" s="107">
        <v>2886000</v>
      </c>
      <c r="D146" s="107">
        <v>4608000</v>
      </c>
      <c r="E146" s="107">
        <v>2790000</v>
      </c>
      <c r="F146" s="107">
        <v>2868000</v>
      </c>
      <c r="G146" s="107">
        <f>SUM(B146:F146)</f>
        <v>13876800</v>
      </c>
      <c r="H146" s="107"/>
      <c r="I146" s="107">
        <v>5496000</v>
      </c>
      <c r="J146" s="107">
        <v>3663000</v>
      </c>
      <c r="K146" s="107">
        <v>1629000</v>
      </c>
      <c r="L146" s="107">
        <v>1620000</v>
      </c>
      <c r="M146" s="107">
        <v>891000</v>
      </c>
      <c r="N146" s="107">
        <v>930000</v>
      </c>
      <c r="O146" s="107">
        <v>0</v>
      </c>
      <c r="P146" s="107">
        <v>204000</v>
      </c>
      <c r="Q146" s="107">
        <v>2128000</v>
      </c>
      <c r="R146" s="107">
        <f>SUM(I146:Q146)</f>
        <v>16561000</v>
      </c>
      <c r="S146" s="107">
        <f>R146+G146</f>
        <v>30437800</v>
      </c>
      <c r="T146" s="107"/>
      <c r="U146" s="107"/>
      <c r="V146" s="107"/>
      <c r="W146" s="107"/>
      <c r="X146" s="107"/>
    </row>
    <row r="147" spans="1:24" x14ac:dyDescent="0.2">
      <c r="A147" s="112" t="s">
        <v>42</v>
      </c>
      <c r="B147" s="107">
        <f t="shared" ref="B147:G147" si="31">B144+B146-B96</f>
        <v>2222400</v>
      </c>
      <c r="C147" s="107">
        <f t="shared" si="31"/>
        <v>36420000</v>
      </c>
      <c r="D147" s="107">
        <f t="shared" si="31"/>
        <v>41148000</v>
      </c>
      <c r="E147" s="107">
        <f t="shared" si="31"/>
        <v>35820000</v>
      </c>
      <c r="F147" s="107">
        <f t="shared" si="31"/>
        <v>30462000</v>
      </c>
      <c r="G147" s="107">
        <f t="shared" si="31"/>
        <v>146072400</v>
      </c>
      <c r="H147" s="107"/>
      <c r="I147" s="107">
        <f t="shared" ref="I147:S147" si="32">I144+I146-I96</f>
        <v>25713600</v>
      </c>
      <c r="J147" s="107">
        <f t="shared" si="32"/>
        <v>15570000</v>
      </c>
      <c r="K147" s="107">
        <f t="shared" si="32"/>
        <v>19602000</v>
      </c>
      <c r="L147" s="107">
        <f t="shared" si="32"/>
        <v>19065000</v>
      </c>
      <c r="M147" s="107">
        <f t="shared" si="32"/>
        <v>2745000</v>
      </c>
      <c r="N147" s="107">
        <f t="shared" si="32"/>
        <v>9332000</v>
      </c>
      <c r="O147" s="107">
        <f t="shared" si="32"/>
        <v>14289000</v>
      </c>
      <c r="P147" s="107">
        <f t="shared" si="32"/>
        <v>6570000</v>
      </c>
      <c r="Q147" s="107">
        <f t="shared" si="32"/>
        <v>5552000</v>
      </c>
      <c r="R147" s="107">
        <f t="shared" si="32"/>
        <v>118438600</v>
      </c>
      <c r="S147" s="107">
        <f t="shared" si="32"/>
        <v>264511000</v>
      </c>
      <c r="T147" s="107"/>
      <c r="U147" s="107"/>
      <c r="V147" s="107"/>
      <c r="W147" s="107">
        <f>W144+S146</f>
        <v>3251348600</v>
      </c>
    </row>
    <row r="148" spans="1:24" x14ac:dyDescent="0.2">
      <c r="H148" s="107"/>
      <c r="W148" s="107"/>
    </row>
    <row r="149" spans="1:24" x14ac:dyDescent="0.2">
      <c r="A149" s="112" t="s">
        <v>53</v>
      </c>
      <c r="B149" s="107">
        <v>518400</v>
      </c>
      <c r="C149" s="107">
        <v>3042000</v>
      </c>
      <c r="D149" s="107">
        <v>5592000</v>
      </c>
      <c r="E149" s="107">
        <v>1953000</v>
      </c>
      <c r="F149" s="107">
        <v>3036000</v>
      </c>
      <c r="G149" s="107">
        <f>SUM(B149:F149)</f>
        <v>14141400</v>
      </c>
      <c r="H149" s="107"/>
      <c r="I149" s="107">
        <v>5412000</v>
      </c>
      <c r="J149" s="107">
        <v>3582000</v>
      </c>
      <c r="K149" s="107">
        <v>1794000</v>
      </c>
      <c r="L149" s="107">
        <v>1749000</v>
      </c>
      <c r="M149" s="107">
        <v>0</v>
      </c>
      <c r="N149" s="107">
        <v>752000</v>
      </c>
      <c r="O149" s="107">
        <v>0</v>
      </c>
      <c r="P149" s="107">
        <v>0</v>
      </c>
      <c r="Q149" s="107">
        <v>2376000</v>
      </c>
      <c r="R149" s="107">
        <f>SUM(I149:Q149)</f>
        <v>15665000</v>
      </c>
      <c r="S149" s="107">
        <f>R149+G149</f>
        <v>29806400</v>
      </c>
      <c r="T149" s="107"/>
      <c r="U149" s="107"/>
      <c r="V149" s="107"/>
      <c r="W149" s="107"/>
      <c r="X149" s="107"/>
    </row>
    <row r="150" spans="1:24" x14ac:dyDescent="0.2">
      <c r="A150" s="112" t="s">
        <v>42</v>
      </c>
      <c r="B150" s="107">
        <f t="shared" ref="B150:G150" si="33">B147+B149-B99</f>
        <v>2006400</v>
      </c>
      <c r="C150" s="107">
        <f t="shared" si="33"/>
        <v>36384000</v>
      </c>
      <c r="D150" s="107">
        <f t="shared" si="33"/>
        <v>43092000</v>
      </c>
      <c r="E150" s="107">
        <f t="shared" si="33"/>
        <v>30834000</v>
      </c>
      <c r="F150" s="107">
        <f t="shared" si="33"/>
        <v>30618000</v>
      </c>
      <c r="G150" s="107">
        <f t="shared" si="33"/>
        <v>142934400</v>
      </c>
      <c r="H150" s="107"/>
      <c r="I150" s="107">
        <f t="shared" ref="I150:S150" si="34">I147+I149-I99</f>
        <v>25639200</v>
      </c>
      <c r="J150" s="107">
        <f t="shared" si="34"/>
        <v>14886000</v>
      </c>
      <c r="K150" s="107">
        <f t="shared" si="34"/>
        <v>19587000</v>
      </c>
      <c r="L150" s="107">
        <f t="shared" si="34"/>
        <v>19056000</v>
      </c>
      <c r="M150" s="107">
        <f t="shared" si="34"/>
        <v>2745000</v>
      </c>
      <c r="N150" s="107">
        <f t="shared" si="34"/>
        <v>9174000</v>
      </c>
      <c r="O150" s="107">
        <f t="shared" si="34"/>
        <v>12723000</v>
      </c>
      <c r="P150" s="107">
        <f t="shared" si="34"/>
        <v>6234000</v>
      </c>
      <c r="Q150" s="107">
        <f t="shared" si="34"/>
        <v>7928000</v>
      </c>
      <c r="R150" s="107">
        <f t="shared" si="34"/>
        <v>117972200</v>
      </c>
      <c r="S150" s="107">
        <f t="shared" si="34"/>
        <v>260906600</v>
      </c>
      <c r="T150" s="107"/>
      <c r="U150" s="107"/>
      <c r="V150" s="107"/>
      <c r="W150" s="107">
        <f>W147+S149</f>
        <v>3281155000</v>
      </c>
    </row>
    <row r="151" spans="1:24" x14ac:dyDescent="0.2">
      <c r="H151" s="107"/>
      <c r="L151" s="109"/>
      <c r="M151" s="110"/>
      <c r="W151" s="107"/>
    </row>
    <row r="152" spans="1:24" x14ac:dyDescent="0.2">
      <c r="H152" s="107"/>
      <c r="W152" s="107"/>
    </row>
    <row r="153" spans="1:24" x14ac:dyDescent="0.2">
      <c r="H153" s="107"/>
      <c r="W153" s="107"/>
    </row>
    <row r="154" spans="1:24" x14ac:dyDescent="0.2">
      <c r="H154" s="107"/>
      <c r="W154" s="107"/>
    </row>
    <row r="155" spans="1:24" x14ac:dyDescent="0.2">
      <c r="H155" s="107"/>
      <c r="W155" s="107"/>
    </row>
    <row r="156" spans="1:24" x14ac:dyDescent="0.2">
      <c r="D156" s="108" t="s">
        <v>98</v>
      </c>
      <c r="L156" s="109">
        <f ca="1">NOW()</f>
        <v>42312.648458217591</v>
      </c>
      <c r="M156" s="110">
        <f ca="1">NOW()</f>
        <v>42312.648458217591</v>
      </c>
      <c r="O156" s="113" t="e">
        <f>#VALUE!</f>
        <v>#VALUE!</v>
      </c>
      <c r="W156" s="107"/>
    </row>
    <row r="157" spans="1:24" x14ac:dyDescent="0.2">
      <c r="D157" s="108" t="s">
        <v>2</v>
      </c>
      <c r="F157" s="108" t="s">
        <v>2</v>
      </c>
      <c r="H157" s="108" t="s">
        <v>3</v>
      </c>
      <c r="I157" s="108" t="s">
        <v>3</v>
      </c>
      <c r="J157" s="108" t="s">
        <v>4</v>
      </c>
      <c r="W157" s="107"/>
    </row>
    <row r="158" spans="1:24" x14ac:dyDescent="0.2">
      <c r="F158" s="108" t="s">
        <v>93</v>
      </c>
      <c r="W158" s="107"/>
    </row>
    <row r="159" spans="1:24" x14ac:dyDescent="0.2">
      <c r="W159" s="111" t="s">
        <v>7</v>
      </c>
      <c r="X159" s="107"/>
    </row>
    <row r="160" spans="1:24" x14ac:dyDescent="0.2">
      <c r="B160" s="108" t="s">
        <v>94</v>
      </c>
      <c r="I160" s="108" t="s">
        <v>95</v>
      </c>
      <c r="W160" s="111" t="s">
        <v>10</v>
      </c>
    </row>
    <row r="161" spans="1:24" x14ac:dyDescent="0.2">
      <c r="B161" s="112" t="s">
        <v>11</v>
      </c>
      <c r="C161" s="112" t="s">
        <v>12</v>
      </c>
      <c r="D161" s="112" t="s">
        <v>13</v>
      </c>
      <c r="E161" s="112" t="s">
        <v>14</v>
      </c>
      <c r="F161" s="112" t="s">
        <v>15</v>
      </c>
      <c r="G161" s="112" t="s">
        <v>16</v>
      </c>
      <c r="I161" s="112" t="s">
        <v>17</v>
      </c>
      <c r="N161" s="112" t="s">
        <v>18</v>
      </c>
      <c r="O161" s="112" t="s">
        <v>19</v>
      </c>
      <c r="P161" s="112" t="s">
        <v>20</v>
      </c>
      <c r="Q161" s="112" t="s">
        <v>21</v>
      </c>
      <c r="R161" s="112" t="s">
        <v>16</v>
      </c>
      <c r="S161" s="112" t="s">
        <v>7</v>
      </c>
      <c r="T161" s="112"/>
      <c r="U161" s="112"/>
      <c r="V161" s="112"/>
      <c r="W161" s="111" t="s">
        <v>22</v>
      </c>
    </row>
    <row r="162" spans="1:24" x14ac:dyDescent="0.2">
      <c r="B162" s="112" t="s">
        <v>23</v>
      </c>
      <c r="C162" s="112" t="s">
        <v>24</v>
      </c>
      <c r="D162" s="112" t="s">
        <v>25</v>
      </c>
      <c r="E162" s="112" t="s">
        <v>26</v>
      </c>
      <c r="F162" s="112" t="s">
        <v>27</v>
      </c>
      <c r="G162" s="112" t="s">
        <v>28</v>
      </c>
      <c r="I162" s="112" t="s">
        <v>29</v>
      </c>
      <c r="J162" s="112" t="s">
        <v>30</v>
      </c>
      <c r="K162" s="112" t="s">
        <v>31</v>
      </c>
      <c r="L162" s="112" t="s">
        <v>32</v>
      </c>
      <c r="M162" s="112" t="s">
        <v>33</v>
      </c>
      <c r="N162" s="112" t="s">
        <v>34</v>
      </c>
      <c r="O162" s="112" t="s">
        <v>35</v>
      </c>
      <c r="P162" s="112" t="s">
        <v>36</v>
      </c>
      <c r="Q162" s="112" t="s">
        <v>37</v>
      </c>
      <c r="R162" s="112" t="s">
        <v>28</v>
      </c>
      <c r="S162" s="112" t="s">
        <v>10</v>
      </c>
      <c r="T162" s="112"/>
      <c r="U162" s="112"/>
      <c r="V162" s="112"/>
      <c r="W162" s="111" t="s">
        <v>38</v>
      </c>
    </row>
    <row r="163" spans="1:24" x14ac:dyDescent="0.2">
      <c r="B163" s="112" t="s">
        <v>39</v>
      </c>
      <c r="C163" s="112" t="s">
        <v>40</v>
      </c>
      <c r="D163" s="112" t="s">
        <v>40</v>
      </c>
      <c r="E163" s="112" t="s">
        <v>40</v>
      </c>
      <c r="F163" s="112" t="s">
        <v>40</v>
      </c>
      <c r="G163" s="112" t="s">
        <v>40</v>
      </c>
      <c r="H163" s="107"/>
      <c r="I163" s="112" t="s">
        <v>40</v>
      </c>
      <c r="J163" s="112" t="s">
        <v>40</v>
      </c>
      <c r="K163" s="112" t="s">
        <v>40</v>
      </c>
      <c r="L163" s="112" t="s">
        <v>40</v>
      </c>
      <c r="M163" s="112" t="s">
        <v>40</v>
      </c>
      <c r="N163" s="112" t="s">
        <v>40</v>
      </c>
      <c r="O163" s="112" t="s">
        <v>40</v>
      </c>
      <c r="P163" s="112" t="s">
        <v>40</v>
      </c>
      <c r="Q163" s="112" t="s">
        <v>40</v>
      </c>
      <c r="R163" s="112" t="s">
        <v>40</v>
      </c>
      <c r="S163" s="112" t="s">
        <v>40</v>
      </c>
      <c r="T163" s="112"/>
      <c r="U163" s="112"/>
      <c r="V163" s="112"/>
      <c r="W163" s="111" t="s">
        <v>40</v>
      </c>
    </row>
    <row r="164" spans="1:24" x14ac:dyDescent="0.2">
      <c r="A164" s="112" t="s">
        <v>41</v>
      </c>
      <c r="B164" s="107">
        <v>67200</v>
      </c>
      <c r="C164" s="107">
        <v>3432000</v>
      </c>
      <c r="D164" s="107">
        <v>3420000</v>
      </c>
      <c r="E164" s="107">
        <v>153000</v>
      </c>
      <c r="F164" s="107">
        <v>2292000</v>
      </c>
      <c r="G164" s="107">
        <f>SUM(B164:F164)</f>
        <v>9364200</v>
      </c>
      <c r="H164" s="107"/>
      <c r="I164" s="107">
        <v>924000</v>
      </c>
      <c r="J164" s="107">
        <v>603000</v>
      </c>
      <c r="K164" s="107">
        <v>1773000</v>
      </c>
      <c r="L164" s="107">
        <v>1707000</v>
      </c>
      <c r="M164" s="107">
        <v>0</v>
      </c>
      <c r="N164" s="107">
        <v>662000</v>
      </c>
      <c r="O164" s="107">
        <v>1290000</v>
      </c>
      <c r="P164" s="107">
        <v>0</v>
      </c>
      <c r="Q164" s="107">
        <v>0</v>
      </c>
      <c r="R164" s="107">
        <f>SUM(I164:Q164)</f>
        <v>6959000</v>
      </c>
      <c r="S164" s="107">
        <f>R164+G164</f>
        <v>16323200</v>
      </c>
      <c r="T164" s="107"/>
      <c r="U164" s="107"/>
      <c r="V164" s="107"/>
      <c r="W164" s="107"/>
      <c r="X164" s="107"/>
    </row>
    <row r="165" spans="1:24" x14ac:dyDescent="0.2">
      <c r="A165" s="112" t="s">
        <v>42</v>
      </c>
      <c r="B165" s="107">
        <f t="shared" ref="B165:G165" si="35">B150+B164-B116</f>
        <v>2006400</v>
      </c>
      <c r="C165" s="107">
        <f t="shared" si="35"/>
        <v>36546000</v>
      </c>
      <c r="D165" s="107">
        <f t="shared" si="35"/>
        <v>42564000</v>
      </c>
      <c r="E165" s="107">
        <f t="shared" si="35"/>
        <v>26199000</v>
      </c>
      <c r="F165" s="107">
        <f t="shared" si="35"/>
        <v>30144000</v>
      </c>
      <c r="G165" s="107">
        <f t="shared" si="35"/>
        <v>137459400</v>
      </c>
      <c r="H165" s="107"/>
      <c r="I165" s="107">
        <f t="shared" ref="I165:S165" si="36">I150+I164-I116</f>
        <v>24460800</v>
      </c>
      <c r="J165" s="107">
        <f t="shared" si="36"/>
        <v>15084000</v>
      </c>
      <c r="K165" s="107">
        <f t="shared" si="36"/>
        <v>19971000</v>
      </c>
      <c r="L165" s="107">
        <f t="shared" si="36"/>
        <v>19413000</v>
      </c>
      <c r="M165" s="107">
        <f t="shared" si="36"/>
        <v>2745000</v>
      </c>
      <c r="N165" s="107">
        <f t="shared" si="36"/>
        <v>9012000</v>
      </c>
      <c r="O165" s="107">
        <f t="shared" si="36"/>
        <v>12321000</v>
      </c>
      <c r="P165" s="107">
        <f t="shared" si="36"/>
        <v>5040000</v>
      </c>
      <c r="Q165" s="107">
        <f t="shared" si="36"/>
        <v>7100000</v>
      </c>
      <c r="R165" s="107">
        <f t="shared" si="36"/>
        <v>115146800</v>
      </c>
      <c r="S165" s="107">
        <f t="shared" si="36"/>
        <v>252606200</v>
      </c>
      <c r="T165" s="107"/>
      <c r="U165" s="107"/>
      <c r="V165" s="107"/>
      <c r="W165" s="107">
        <f>W150+S164</f>
        <v>3297478200</v>
      </c>
      <c r="X165" s="107"/>
    </row>
    <row r="166" spans="1:24" x14ac:dyDescent="0.2">
      <c r="H166" s="107"/>
      <c r="W166" s="107"/>
    </row>
    <row r="167" spans="1:24" x14ac:dyDescent="0.2">
      <c r="A167" s="112" t="s">
        <v>43</v>
      </c>
      <c r="B167" s="107">
        <v>0</v>
      </c>
      <c r="C167" s="107">
        <v>2928000</v>
      </c>
      <c r="D167" s="107">
        <v>3192000</v>
      </c>
      <c r="E167" s="107">
        <v>0</v>
      </c>
      <c r="F167" s="107">
        <v>2022000</v>
      </c>
      <c r="G167" s="107">
        <f>SUM(B167:F167)</f>
        <v>8142000</v>
      </c>
      <c r="H167" s="107"/>
      <c r="I167" s="107">
        <v>0</v>
      </c>
      <c r="J167" s="107">
        <v>0</v>
      </c>
      <c r="K167" s="107">
        <v>1566000</v>
      </c>
      <c r="L167" s="107">
        <v>1473000</v>
      </c>
      <c r="M167" s="107">
        <v>0</v>
      </c>
      <c r="N167" s="107">
        <v>690000</v>
      </c>
      <c r="O167" s="107">
        <v>1299000</v>
      </c>
      <c r="P167" s="107">
        <v>0</v>
      </c>
      <c r="Q167" s="107">
        <v>0</v>
      </c>
      <c r="R167" s="107">
        <f>SUM(I167:Q167)</f>
        <v>5028000</v>
      </c>
      <c r="S167" s="107">
        <f>R167+G167</f>
        <v>13170000</v>
      </c>
      <c r="T167" s="107"/>
      <c r="U167" s="107"/>
      <c r="V167" s="107"/>
      <c r="W167" s="107"/>
    </row>
    <row r="168" spans="1:24" x14ac:dyDescent="0.2">
      <c r="A168" s="112" t="s">
        <v>42</v>
      </c>
      <c r="B168" s="107">
        <f t="shared" ref="B168:G168" si="37">B165+B167-B119</f>
        <v>2006400</v>
      </c>
      <c r="C168" s="107">
        <f t="shared" si="37"/>
        <v>37752000</v>
      </c>
      <c r="D168" s="107">
        <f t="shared" si="37"/>
        <v>42384000</v>
      </c>
      <c r="E168" s="107">
        <f t="shared" si="37"/>
        <v>23805000</v>
      </c>
      <c r="F168" s="107">
        <f t="shared" si="37"/>
        <v>30630000</v>
      </c>
      <c r="G168" s="107">
        <f t="shared" si="37"/>
        <v>136577400</v>
      </c>
      <c r="H168" s="107"/>
      <c r="I168" s="107">
        <f t="shared" ref="I168:S168" si="38">I165+I167-I119</f>
        <v>22032000</v>
      </c>
      <c r="J168" s="107">
        <f t="shared" si="38"/>
        <v>14112000</v>
      </c>
      <c r="K168" s="107">
        <f t="shared" si="38"/>
        <v>20703000</v>
      </c>
      <c r="L168" s="107">
        <f t="shared" si="38"/>
        <v>19977000</v>
      </c>
      <c r="M168" s="107">
        <f t="shared" si="38"/>
        <v>2745000</v>
      </c>
      <c r="N168" s="107">
        <f t="shared" si="38"/>
        <v>9000000</v>
      </c>
      <c r="O168" s="107">
        <f t="shared" si="38"/>
        <v>12582000</v>
      </c>
      <c r="P168" s="107">
        <f t="shared" si="38"/>
        <v>2826000</v>
      </c>
      <c r="Q168" s="107">
        <f t="shared" si="38"/>
        <v>6908000</v>
      </c>
      <c r="R168" s="107">
        <f t="shared" si="38"/>
        <v>110885000</v>
      </c>
      <c r="S168" s="107">
        <f t="shared" si="38"/>
        <v>247462400</v>
      </c>
      <c r="T168" s="107"/>
      <c r="U168" s="107"/>
      <c r="V168" s="107"/>
      <c r="W168" s="107">
        <f>W165+S167</f>
        <v>3310648200</v>
      </c>
      <c r="X168" s="107"/>
    </row>
    <row r="169" spans="1:24" x14ac:dyDescent="0.2">
      <c r="B169" s="107"/>
      <c r="C169" s="107"/>
      <c r="D169" s="107"/>
      <c r="E169" s="107"/>
      <c r="F169" s="107"/>
      <c r="G169" s="107"/>
      <c r="H169" s="107"/>
      <c r="I169" s="107"/>
      <c r="J169" s="107"/>
      <c r="K169" s="107"/>
      <c r="L169" s="107"/>
      <c r="M169" s="107"/>
      <c r="N169" s="107"/>
      <c r="O169" s="107"/>
      <c r="P169" s="107"/>
      <c r="Q169" s="107"/>
      <c r="R169" s="107"/>
      <c r="S169" s="107"/>
      <c r="T169" s="107"/>
      <c r="U169" s="107"/>
      <c r="V169" s="107"/>
      <c r="W169" s="107"/>
    </row>
    <row r="170" spans="1:24" x14ac:dyDescent="0.2">
      <c r="A170" s="112" t="s">
        <v>44</v>
      </c>
      <c r="B170" s="107">
        <v>0</v>
      </c>
      <c r="C170" s="107">
        <v>3522000</v>
      </c>
      <c r="D170" s="107">
        <v>1644000</v>
      </c>
      <c r="E170" s="107">
        <v>171000</v>
      </c>
      <c r="F170" s="107">
        <v>1656000</v>
      </c>
      <c r="G170" s="107">
        <f>SUM(B170:F170)</f>
        <v>6993000</v>
      </c>
      <c r="H170" s="107"/>
      <c r="I170" s="107">
        <v>0</v>
      </c>
      <c r="J170" s="107">
        <v>0</v>
      </c>
      <c r="K170" s="107">
        <v>1188000</v>
      </c>
      <c r="L170" s="107">
        <v>1056000</v>
      </c>
      <c r="M170" s="107">
        <v>0</v>
      </c>
      <c r="N170" s="107">
        <v>648000</v>
      </c>
      <c r="O170" s="107">
        <v>1149000</v>
      </c>
      <c r="P170" s="107">
        <v>1710000</v>
      </c>
      <c r="Q170" s="107">
        <v>0</v>
      </c>
      <c r="R170" s="107">
        <f>SUM(I170:Q170)</f>
        <v>5751000</v>
      </c>
      <c r="S170" s="107">
        <f>R170+G170</f>
        <v>12744000</v>
      </c>
      <c r="T170" s="107"/>
      <c r="U170" s="107"/>
      <c r="V170" s="107"/>
      <c r="W170" s="107"/>
    </row>
    <row r="171" spans="1:24" x14ac:dyDescent="0.2">
      <c r="A171" s="112" t="s">
        <v>42</v>
      </c>
      <c r="B171" s="107">
        <f t="shared" ref="B171:G171" si="39">B168+B170-B122</f>
        <v>2006400</v>
      </c>
      <c r="C171" s="107">
        <f t="shared" si="39"/>
        <v>37800000</v>
      </c>
      <c r="D171" s="107">
        <f t="shared" si="39"/>
        <v>43944000</v>
      </c>
      <c r="E171" s="107">
        <f t="shared" si="39"/>
        <v>23976000</v>
      </c>
      <c r="F171" s="107">
        <f t="shared" si="39"/>
        <v>30756000</v>
      </c>
      <c r="G171" s="107">
        <f t="shared" si="39"/>
        <v>138482400</v>
      </c>
      <c r="H171" s="107"/>
      <c r="I171" s="107">
        <f t="shared" ref="I171:S171" si="40">I168+I170-I122</f>
        <v>22032000</v>
      </c>
      <c r="J171" s="107">
        <f t="shared" si="40"/>
        <v>14112000</v>
      </c>
      <c r="K171" s="107">
        <f t="shared" si="40"/>
        <v>20061000</v>
      </c>
      <c r="L171" s="107">
        <f t="shared" si="40"/>
        <v>19254000</v>
      </c>
      <c r="M171" s="107">
        <f t="shared" si="40"/>
        <v>2745000</v>
      </c>
      <c r="N171" s="107">
        <f t="shared" si="40"/>
        <v>9368000</v>
      </c>
      <c r="O171" s="107">
        <f t="shared" si="40"/>
        <v>12900000</v>
      </c>
      <c r="P171" s="107">
        <f t="shared" si="40"/>
        <v>4512000</v>
      </c>
      <c r="Q171" s="107">
        <f t="shared" si="40"/>
        <v>6908000</v>
      </c>
      <c r="R171" s="107">
        <f t="shared" si="40"/>
        <v>111892000</v>
      </c>
      <c r="S171" s="107">
        <f t="shared" si="40"/>
        <v>250374400</v>
      </c>
      <c r="T171" s="107"/>
      <c r="U171" s="107"/>
      <c r="V171" s="107"/>
      <c r="W171" s="107">
        <f>W168+S170</f>
        <v>3323392200</v>
      </c>
      <c r="X171" s="107"/>
    </row>
    <row r="172" spans="1:24" x14ac:dyDescent="0.2">
      <c r="H172" s="107"/>
      <c r="W172" s="107"/>
    </row>
    <row r="173" spans="1:24" x14ac:dyDescent="0.2">
      <c r="A173" s="112" t="s">
        <v>45</v>
      </c>
      <c r="B173" s="107">
        <v>350400</v>
      </c>
      <c r="C173" s="107">
        <v>3174000</v>
      </c>
      <c r="D173" s="107">
        <v>4584000</v>
      </c>
      <c r="E173" s="107">
        <v>2430000</v>
      </c>
      <c r="F173" s="107">
        <v>2298000</v>
      </c>
      <c r="G173" s="107">
        <f>SUM(B173:F173)</f>
        <v>12836400</v>
      </c>
      <c r="H173" s="107"/>
      <c r="I173" s="107">
        <v>2580000</v>
      </c>
      <c r="J173" s="107">
        <v>1665000</v>
      </c>
      <c r="K173" s="107">
        <v>1545000</v>
      </c>
      <c r="L173" s="107">
        <v>1299000</v>
      </c>
      <c r="M173" s="107">
        <v>0</v>
      </c>
      <c r="N173" s="107">
        <v>832000</v>
      </c>
      <c r="O173" s="107">
        <v>1074000</v>
      </c>
      <c r="P173" s="107">
        <v>3258000</v>
      </c>
      <c r="Q173" s="107">
        <v>220000</v>
      </c>
      <c r="R173" s="107">
        <f>SUM(I173:Q173)</f>
        <v>12473000</v>
      </c>
      <c r="S173" s="107">
        <f>R173+G173</f>
        <v>25309400</v>
      </c>
      <c r="T173" s="107"/>
      <c r="U173" s="107"/>
      <c r="V173" s="107"/>
      <c r="W173" s="107"/>
    </row>
    <row r="174" spans="1:24" x14ac:dyDescent="0.2">
      <c r="A174" s="112" t="s">
        <v>42</v>
      </c>
      <c r="B174" s="107">
        <f t="shared" ref="B174:G174" si="41">B171+B173-B125</f>
        <v>2356800</v>
      </c>
      <c r="C174" s="107">
        <f t="shared" si="41"/>
        <v>37698000</v>
      </c>
      <c r="D174" s="107">
        <f t="shared" si="41"/>
        <v>48000000</v>
      </c>
      <c r="E174" s="107">
        <f t="shared" si="41"/>
        <v>25929000</v>
      </c>
      <c r="F174" s="107">
        <f t="shared" si="41"/>
        <v>31386000</v>
      </c>
      <c r="G174" s="107">
        <f t="shared" si="41"/>
        <v>145369800</v>
      </c>
      <c r="H174" s="107"/>
      <c r="I174" s="107">
        <f t="shared" ref="I174:S174" si="42">I171+I173-I125</f>
        <v>24612000</v>
      </c>
      <c r="J174" s="107">
        <f t="shared" si="42"/>
        <v>15777000</v>
      </c>
      <c r="K174" s="107">
        <f t="shared" si="42"/>
        <v>19902000</v>
      </c>
      <c r="L174" s="107">
        <f t="shared" si="42"/>
        <v>18951000</v>
      </c>
      <c r="M174" s="107">
        <f t="shared" si="42"/>
        <v>2745000</v>
      </c>
      <c r="N174" s="107">
        <f t="shared" si="42"/>
        <v>9680000</v>
      </c>
      <c r="O174" s="107">
        <f t="shared" si="42"/>
        <v>12657000</v>
      </c>
      <c r="P174" s="107">
        <f t="shared" si="42"/>
        <v>7770000</v>
      </c>
      <c r="Q174" s="107">
        <f t="shared" si="42"/>
        <v>7128000</v>
      </c>
      <c r="R174" s="107">
        <f t="shared" si="42"/>
        <v>119222000</v>
      </c>
      <c r="S174" s="107">
        <f t="shared" si="42"/>
        <v>264591800</v>
      </c>
      <c r="T174" s="107"/>
      <c r="U174" s="107"/>
      <c r="V174" s="107"/>
      <c r="W174" s="107">
        <f>W171+S173</f>
        <v>3348701600</v>
      </c>
      <c r="X174" s="107"/>
    </row>
    <row r="175" spans="1:24" x14ac:dyDescent="0.2">
      <c r="H175" s="107"/>
      <c r="W175" s="107"/>
    </row>
    <row r="176" spans="1:24" x14ac:dyDescent="0.2">
      <c r="A176" s="112" t="s">
        <v>46</v>
      </c>
      <c r="B176" s="107">
        <v>422400</v>
      </c>
      <c r="C176" s="107">
        <v>3480000</v>
      </c>
      <c r="D176" s="107">
        <v>3936000</v>
      </c>
      <c r="E176" s="107">
        <v>6525000</v>
      </c>
      <c r="F176" s="107">
        <v>2490000</v>
      </c>
      <c r="G176" s="107">
        <f>SUM(B176:F176)</f>
        <v>16853400</v>
      </c>
      <c r="H176" s="107"/>
      <c r="I176" s="107">
        <v>2772000</v>
      </c>
      <c r="J176" s="107">
        <v>1818000</v>
      </c>
      <c r="K176" s="107">
        <v>1848000</v>
      </c>
      <c r="L176" s="107">
        <v>1767000</v>
      </c>
      <c r="M176" s="107">
        <v>2070000</v>
      </c>
      <c r="N176" s="107">
        <v>912000</v>
      </c>
      <c r="O176" s="107">
        <v>1056000</v>
      </c>
      <c r="P176" s="107">
        <v>3360000</v>
      </c>
      <c r="Q176" s="107">
        <v>0</v>
      </c>
      <c r="R176" s="107">
        <f>SUM(I176:Q176)</f>
        <v>15603000</v>
      </c>
      <c r="S176" s="107">
        <f>R176+G176</f>
        <v>32456400</v>
      </c>
      <c r="T176" s="107"/>
      <c r="U176" s="107"/>
      <c r="V176" s="107"/>
      <c r="W176" s="107"/>
    </row>
    <row r="177" spans="1:24" x14ac:dyDescent="0.2">
      <c r="A177" s="112" t="s">
        <v>42</v>
      </c>
      <c r="B177" s="107">
        <f t="shared" ref="B177:G177" si="43">B174+B176-B128</f>
        <v>2779200</v>
      </c>
      <c r="C177" s="107">
        <f t="shared" si="43"/>
        <v>37728000</v>
      </c>
      <c r="D177" s="107">
        <f t="shared" si="43"/>
        <v>49428000</v>
      </c>
      <c r="E177" s="107">
        <f t="shared" si="43"/>
        <v>30951000</v>
      </c>
      <c r="F177" s="107">
        <f t="shared" si="43"/>
        <v>30924000</v>
      </c>
      <c r="G177" s="107">
        <f t="shared" si="43"/>
        <v>151810200</v>
      </c>
      <c r="H177" s="107"/>
      <c r="I177" s="107">
        <f t="shared" ref="I177:S177" si="44">I174+I176-I128</f>
        <v>27384000</v>
      </c>
      <c r="J177" s="107">
        <f t="shared" si="44"/>
        <v>17595000</v>
      </c>
      <c r="K177" s="107">
        <f t="shared" si="44"/>
        <v>19776000</v>
      </c>
      <c r="L177" s="107">
        <f t="shared" si="44"/>
        <v>18813000</v>
      </c>
      <c r="M177" s="107">
        <f t="shared" si="44"/>
        <v>4815000</v>
      </c>
      <c r="N177" s="107">
        <f t="shared" si="44"/>
        <v>9766000</v>
      </c>
      <c r="O177" s="107">
        <f t="shared" si="44"/>
        <v>12177000</v>
      </c>
      <c r="P177" s="107">
        <f t="shared" si="44"/>
        <v>11130000</v>
      </c>
      <c r="Q177" s="107">
        <f t="shared" si="44"/>
        <v>7128000</v>
      </c>
      <c r="R177" s="107">
        <f t="shared" si="44"/>
        <v>128584000</v>
      </c>
      <c r="S177" s="107">
        <f t="shared" si="44"/>
        <v>280394200</v>
      </c>
      <c r="T177" s="107"/>
      <c r="U177" s="107"/>
      <c r="V177" s="107"/>
      <c r="W177" s="107">
        <f>W174+S176</f>
        <v>3381158000</v>
      </c>
      <c r="X177" s="107"/>
    </row>
    <row r="178" spans="1:24" x14ac:dyDescent="0.2">
      <c r="H178" s="107"/>
      <c r="W178" s="107"/>
    </row>
    <row r="179" spans="1:24" x14ac:dyDescent="0.2">
      <c r="A179" s="112" t="s">
        <v>47</v>
      </c>
      <c r="B179" s="107">
        <v>700800</v>
      </c>
      <c r="C179" s="107">
        <v>3402000</v>
      </c>
      <c r="D179" s="107">
        <v>5904000</v>
      </c>
      <c r="E179" s="107">
        <v>6021000</v>
      </c>
      <c r="F179" s="107">
        <v>2292000</v>
      </c>
      <c r="G179" s="107">
        <f>SUM(B179:F179)</f>
        <v>18319800</v>
      </c>
      <c r="H179" s="107"/>
      <c r="I179" s="107">
        <v>4368000</v>
      </c>
      <c r="J179" s="107">
        <v>2763000</v>
      </c>
      <c r="K179" s="107">
        <v>1872000</v>
      </c>
      <c r="L179" s="107">
        <v>1821000</v>
      </c>
      <c r="M179" s="107">
        <v>1089000</v>
      </c>
      <c r="N179" s="107">
        <v>1022000</v>
      </c>
      <c r="O179" s="107">
        <v>1128000</v>
      </c>
      <c r="P179" s="107">
        <v>3186000</v>
      </c>
      <c r="Q179" s="107">
        <v>0</v>
      </c>
      <c r="R179" s="107">
        <f>SUM(I179:Q179)</f>
        <v>17249000</v>
      </c>
      <c r="S179" s="107">
        <f>R179+G179</f>
        <v>35568800</v>
      </c>
      <c r="T179" s="107"/>
      <c r="U179" s="107"/>
      <c r="V179" s="107"/>
      <c r="W179" s="107"/>
    </row>
    <row r="180" spans="1:24" x14ac:dyDescent="0.2">
      <c r="A180" s="112" t="s">
        <v>42</v>
      </c>
      <c r="B180" s="107">
        <f t="shared" ref="B180:G180" si="45">B177+B179-B131</f>
        <v>3480000</v>
      </c>
      <c r="C180" s="107">
        <f t="shared" si="45"/>
        <v>37704000</v>
      </c>
      <c r="D180" s="107">
        <f t="shared" si="45"/>
        <v>53520000</v>
      </c>
      <c r="E180" s="107">
        <f t="shared" si="45"/>
        <v>31986000</v>
      </c>
      <c r="F180" s="107">
        <f t="shared" si="45"/>
        <v>30126000</v>
      </c>
      <c r="G180" s="107">
        <f t="shared" si="45"/>
        <v>156816000</v>
      </c>
      <c r="H180" s="107"/>
      <c r="I180" s="107">
        <f t="shared" ref="I180:S180" si="46">I177+I179-I131</f>
        <v>31752000</v>
      </c>
      <c r="J180" s="107">
        <f t="shared" si="46"/>
        <v>20358000</v>
      </c>
      <c r="K180" s="107">
        <f t="shared" si="46"/>
        <v>19776000</v>
      </c>
      <c r="L180" s="107">
        <f t="shared" si="46"/>
        <v>18846000</v>
      </c>
      <c r="M180" s="107">
        <f t="shared" si="46"/>
        <v>5904000</v>
      </c>
      <c r="N180" s="107">
        <f t="shared" si="46"/>
        <v>9974000</v>
      </c>
      <c r="O180" s="107">
        <f t="shared" si="46"/>
        <v>11796000</v>
      </c>
      <c r="P180" s="107">
        <f t="shared" si="46"/>
        <v>14208000</v>
      </c>
      <c r="Q180" s="107">
        <f t="shared" si="46"/>
        <v>7128000</v>
      </c>
      <c r="R180" s="107">
        <f t="shared" si="46"/>
        <v>139742000</v>
      </c>
      <c r="S180" s="107">
        <f t="shared" si="46"/>
        <v>296558000</v>
      </c>
      <c r="T180" s="107"/>
      <c r="U180" s="107"/>
      <c r="V180" s="107"/>
      <c r="W180" s="107">
        <f>W177+S179</f>
        <v>3416726800</v>
      </c>
      <c r="X180" s="107"/>
    </row>
    <row r="181" spans="1:24" x14ac:dyDescent="0.2">
      <c r="H181" s="107"/>
      <c r="W181" s="107"/>
    </row>
    <row r="182" spans="1:24" x14ac:dyDescent="0.2">
      <c r="A182" s="112" t="s">
        <v>48</v>
      </c>
      <c r="B182" s="107">
        <v>192000</v>
      </c>
      <c r="C182" s="107">
        <v>3570000</v>
      </c>
      <c r="D182" s="107">
        <v>5268000</v>
      </c>
      <c r="E182" s="107">
        <v>5508000</v>
      </c>
      <c r="F182" s="107">
        <v>2388000</v>
      </c>
      <c r="G182" s="107">
        <f>SUM(B182:F182)</f>
        <v>16926000</v>
      </c>
      <c r="H182" s="107"/>
      <c r="I182" s="107">
        <v>2532000</v>
      </c>
      <c r="J182" s="107">
        <v>1143000</v>
      </c>
      <c r="K182" s="107">
        <v>1785000</v>
      </c>
      <c r="L182" s="107">
        <v>1764000</v>
      </c>
      <c r="M182" s="107">
        <v>423000</v>
      </c>
      <c r="N182" s="107">
        <v>1010000</v>
      </c>
      <c r="O182" s="107">
        <v>1296000</v>
      </c>
      <c r="P182" s="107">
        <v>3084000</v>
      </c>
      <c r="Q182" s="107">
        <v>1056000</v>
      </c>
      <c r="R182" s="107">
        <f>SUM(I182:Q182)</f>
        <v>14093000</v>
      </c>
      <c r="S182" s="107">
        <f>R182+G182</f>
        <v>31019000</v>
      </c>
      <c r="T182" s="107"/>
      <c r="U182" s="107"/>
      <c r="V182" s="107"/>
      <c r="W182" s="107"/>
    </row>
    <row r="183" spans="1:24" x14ac:dyDescent="0.2">
      <c r="A183" s="112" t="s">
        <v>42</v>
      </c>
      <c r="B183" s="107">
        <f t="shared" ref="B183:G183" si="47">B180+B182-B134</f>
        <v>3672000</v>
      </c>
      <c r="C183" s="107">
        <f t="shared" si="47"/>
        <v>38688000</v>
      </c>
      <c r="D183" s="107">
        <f t="shared" si="47"/>
        <v>54336000</v>
      </c>
      <c r="E183" s="107">
        <f t="shared" si="47"/>
        <v>33039000</v>
      </c>
      <c r="F183" s="107">
        <f t="shared" si="47"/>
        <v>29238000</v>
      </c>
      <c r="G183" s="107">
        <f t="shared" si="47"/>
        <v>158973000</v>
      </c>
      <c r="H183" s="107"/>
      <c r="I183" s="107">
        <f t="shared" ref="I183:S183" si="48">I180+I182-I134</f>
        <v>34284000</v>
      </c>
      <c r="J183" s="107">
        <f t="shared" si="48"/>
        <v>21501000</v>
      </c>
      <c r="K183" s="107">
        <f t="shared" si="48"/>
        <v>19608000</v>
      </c>
      <c r="L183" s="107">
        <f t="shared" si="48"/>
        <v>18828000</v>
      </c>
      <c r="M183" s="107">
        <f t="shared" si="48"/>
        <v>6120000</v>
      </c>
      <c r="N183" s="107">
        <f t="shared" si="48"/>
        <v>10070000</v>
      </c>
      <c r="O183" s="107">
        <f t="shared" si="48"/>
        <v>11571000</v>
      </c>
      <c r="P183" s="107">
        <f t="shared" si="48"/>
        <v>17250000</v>
      </c>
      <c r="Q183" s="107">
        <f t="shared" si="48"/>
        <v>8184000</v>
      </c>
      <c r="R183" s="107">
        <f t="shared" si="48"/>
        <v>147416000</v>
      </c>
      <c r="S183" s="107">
        <f t="shared" si="48"/>
        <v>306389000</v>
      </c>
      <c r="T183" s="107"/>
      <c r="U183" s="107"/>
      <c r="V183" s="107"/>
      <c r="W183" s="107">
        <f>W180+S182</f>
        <v>3447745800</v>
      </c>
      <c r="X183" s="107"/>
    </row>
    <row r="184" spans="1:24" x14ac:dyDescent="0.2">
      <c r="H184" s="107"/>
      <c r="W184" s="107"/>
    </row>
    <row r="185" spans="1:24" x14ac:dyDescent="0.2">
      <c r="A185" s="112" t="s">
        <v>49</v>
      </c>
      <c r="B185" s="107">
        <v>0</v>
      </c>
      <c r="C185" s="107">
        <v>3384000</v>
      </c>
      <c r="D185" s="107">
        <v>5976000</v>
      </c>
      <c r="E185" s="107">
        <v>6804000</v>
      </c>
      <c r="F185" s="107">
        <v>846000</v>
      </c>
      <c r="G185" s="107">
        <f>SUM(B185:F185)</f>
        <v>17010000</v>
      </c>
      <c r="H185" s="107"/>
      <c r="I185" s="107">
        <v>2148000</v>
      </c>
      <c r="J185" s="107">
        <v>0</v>
      </c>
      <c r="K185" s="107">
        <v>1641000</v>
      </c>
      <c r="L185" s="107">
        <v>1692000</v>
      </c>
      <c r="M185" s="107">
        <v>540000</v>
      </c>
      <c r="N185" s="107">
        <v>1038000</v>
      </c>
      <c r="O185" s="107">
        <v>1563000</v>
      </c>
      <c r="P185" s="107">
        <v>2718000</v>
      </c>
      <c r="Q185" s="107">
        <v>2396000</v>
      </c>
      <c r="R185" s="107">
        <f>SUM(I185:Q185)</f>
        <v>13736000</v>
      </c>
      <c r="S185" s="107">
        <f>R185+G185</f>
        <v>30746000</v>
      </c>
      <c r="T185" s="107"/>
      <c r="U185" s="107"/>
      <c r="V185" s="107"/>
      <c r="W185" s="107"/>
    </row>
    <row r="186" spans="1:24" x14ac:dyDescent="0.2">
      <c r="A186" s="112" t="s">
        <v>42</v>
      </c>
      <c r="B186" s="107">
        <f t="shared" ref="B186:G186" si="49">B183+B185-B137</f>
        <v>3672000</v>
      </c>
      <c r="C186" s="107">
        <f t="shared" si="49"/>
        <v>38688000</v>
      </c>
      <c r="D186" s="107">
        <f t="shared" si="49"/>
        <v>54636000</v>
      </c>
      <c r="E186" s="107">
        <f t="shared" si="49"/>
        <v>38961000</v>
      </c>
      <c r="F186" s="107">
        <f t="shared" si="49"/>
        <v>27126000</v>
      </c>
      <c r="G186" s="107">
        <f t="shared" si="49"/>
        <v>163083000</v>
      </c>
      <c r="H186" s="107"/>
      <c r="I186" s="107">
        <f t="shared" ref="I186:S186" si="50">I183+I185-I137</f>
        <v>36060000</v>
      </c>
      <c r="J186" s="107">
        <f t="shared" si="50"/>
        <v>21501000</v>
      </c>
      <c r="K186" s="107">
        <f t="shared" si="50"/>
        <v>19458000</v>
      </c>
      <c r="L186" s="107">
        <f t="shared" si="50"/>
        <v>18747000</v>
      </c>
      <c r="M186" s="107">
        <f t="shared" si="50"/>
        <v>6453000</v>
      </c>
      <c r="N186" s="107">
        <f t="shared" si="50"/>
        <v>10210000</v>
      </c>
      <c r="O186" s="107">
        <f t="shared" si="50"/>
        <v>11721000</v>
      </c>
      <c r="P186" s="107">
        <f t="shared" si="50"/>
        <v>19968000</v>
      </c>
      <c r="Q186" s="107">
        <f t="shared" si="50"/>
        <v>10580000</v>
      </c>
      <c r="R186" s="107">
        <f t="shared" si="50"/>
        <v>154698000</v>
      </c>
      <c r="S186" s="107">
        <f t="shared" si="50"/>
        <v>317781000</v>
      </c>
      <c r="T186" s="107"/>
      <c r="U186" s="107"/>
      <c r="V186" s="107"/>
      <c r="W186" s="107">
        <f>W183+S185</f>
        <v>3478491800</v>
      </c>
      <c r="X186" s="107"/>
    </row>
    <row r="187" spans="1:24" x14ac:dyDescent="0.2">
      <c r="H187" s="107"/>
      <c r="W187" s="107"/>
    </row>
    <row r="188" spans="1:24" x14ac:dyDescent="0.2">
      <c r="A188" s="112" t="s">
        <v>50</v>
      </c>
      <c r="B188" s="107">
        <v>110400</v>
      </c>
      <c r="C188" s="107">
        <v>3270000</v>
      </c>
      <c r="D188" s="107">
        <v>5196000</v>
      </c>
      <c r="E188" s="107">
        <v>6282000</v>
      </c>
      <c r="F188" s="107">
        <v>2598000</v>
      </c>
      <c r="G188" s="107">
        <f>SUM(B188:F188)</f>
        <v>17456400</v>
      </c>
      <c r="H188" s="107"/>
      <c r="I188" s="107">
        <v>4356000</v>
      </c>
      <c r="J188" s="107">
        <v>2907000</v>
      </c>
      <c r="K188" s="107">
        <v>1869000</v>
      </c>
      <c r="L188" s="107">
        <v>1815000</v>
      </c>
      <c r="M188" s="107">
        <v>0</v>
      </c>
      <c r="N188" s="107">
        <v>1006000</v>
      </c>
      <c r="O188" s="107">
        <v>1239000</v>
      </c>
      <c r="P188" s="107">
        <v>1362000</v>
      </c>
      <c r="Q188" s="107">
        <v>648000</v>
      </c>
      <c r="R188" s="107">
        <f>SUM(I188:Q188)</f>
        <v>15202000</v>
      </c>
      <c r="S188" s="107">
        <f>R188+G188</f>
        <v>32658400</v>
      </c>
      <c r="T188" s="107"/>
      <c r="U188" s="107"/>
      <c r="V188" s="107"/>
      <c r="W188" s="107"/>
    </row>
    <row r="189" spans="1:24" x14ac:dyDescent="0.2">
      <c r="A189" s="112" t="s">
        <v>42</v>
      </c>
      <c r="B189" s="107">
        <f t="shared" ref="B189:G189" si="51">B186+B188-B140</f>
        <v>3782400</v>
      </c>
      <c r="C189" s="107">
        <f t="shared" si="51"/>
        <v>38994000</v>
      </c>
      <c r="D189" s="107">
        <f t="shared" si="51"/>
        <v>54276000</v>
      </c>
      <c r="E189" s="107">
        <f t="shared" si="51"/>
        <v>43128000</v>
      </c>
      <c r="F189" s="107">
        <f t="shared" si="51"/>
        <v>27876000</v>
      </c>
      <c r="G189" s="107">
        <f t="shared" si="51"/>
        <v>168056400</v>
      </c>
      <c r="H189" s="107"/>
      <c r="I189" s="107">
        <f t="shared" ref="I189:S189" si="52">I186+I188-I140</f>
        <v>36348000</v>
      </c>
      <c r="J189" s="107">
        <f t="shared" si="52"/>
        <v>21960000</v>
      </c>
      <c r="K189" s="107">
        <f t="shared" si="52"/>
        <v>19950000</v>
      </c>
      <c r="L189" s="107">
        <f t="shared" si="52"/>
        <v>19239000</v>
      </c>
      <c r="M189" s="107">
        <f t="shared" si="52"/>
        <v>6453000</v>
      </c>
      <c r="N189" s="107">
        <f t="shared" si="52"/>
        <v>10372000</v>
      </c>
      <c r="O189" s="107">
        <f t="shared" si="52"/>
        <v>11931000</v>
      </c>
      <c r="P189" s="107">
        <f t="shared" si="52"/>
        <v>21252000</v>
      </c>
      <c r="Q189" s="107">
        <f t="shared" si="52"/>
        <v>11228000</v>
      </c>
      <c r="R189" s="107">
        <f t="shared" si="52"/>
        <v>158733000</v>
      </c>
      <c r="S189" s="107">
        <f t="shared" si="52"/>
        <v>326789400</v>
      </c>
      <c r="T189" s="107"/>
      <c r="U189" s="107"/>
      <c r="V189" s="107"/>
      <c r="W189" s="107">
        <f>W186+S188</f>
        <v>3511150200</v>
      </c>
      <c r="X189" s="107"/>
    </row>
    <row r="190" spans="1:24" x14ac:dyDescent="0.2">
      <c r="H190" s="107"/>
      <c r="W190" s="107"/>
    </row>
    <row r="191" spans="1:24" x14ac:dyDescent="0.2">
      <c r="A191" s="112" t="s">
        <v>51</v>
      </c>
      <c r="B191" s="107">
        <v>484800</v>
      </c>
      <c r="C191" s="107">
        <v>1974000</v>
      </c>
      <c r="D191" s="107">
        <v>4440000</v>
      </c>
      <c r="E191" s="107">
        <v>6561000</v>
      </c>
      <c r="F191" s="107">
        <v>3066000</v>
      </c>
      <c r="G191" s="107">
        <f>SUM(B191:F191)</f>
        <v>16525800</v>
      </c>
      <c r="H191" s="107"/>
      <c r="I191" s="107">
        <v>2952000</v>
      </c>
      <c r="J191" s="107">
        <v>2079000</v>
      </c>
      <c r="K191" s="107">
        <v>1752000</v>
      </c>
      <c r="L191" s="107">
        <v>1896000</v>
      </c>
      <c r="M191" s="107">
        <v>0</v>
      </c>
      <c r="N191" s="107">
        <v>1042000</v>
      </c>
      <c r="O191" s="107">
        <v>1635000</v>
      </c>
      <c r="P191" s="107">
        <v>2952000</v>
      </c>
      <c r="Q191" s="107">
        <v>0</v>
      </c>
      <c r="R191" s="107">
        <f>SUM(I191:Q191)</f>
        <v>14308000</v>
      </c>
      <c r="S191" s="107">
        <f>R191+G191</f>
        <v>30833800</v>
      </c>
      <c r="T191" s="107"/>
      <c r="U191" s="107"/>
      <c r="V191" s="107"/>
      <c r="W191" s="107"/>
    </row>
    <row r="192" spans="1:24" x14ac:dyDescent="0.2">
      <c r="A192" s="112" t="s">
        <v>42</v>
      </c>
      <c r="B192" s="107">
        <f t="shared" ref="B192:G192" si="53">B189+B191-B143</f>
        <v>3571200</v>
      </c>
      <c r="C192" s="107">
        <f t="shared" si="53"/>
        <v>38064000</v>
      </c>
      <c r="D192" s="107">
        <f t="shared" si="53"/>
        <v>53760000</v>
      </c>
      <c r="E192" s="107">
        <f t="shared" si="53"/>
        <v>45198000</v>
      </c>
      <c r="F192" s="107">
        <f t="shared" si="53"/>
        <v>27852000</v>
      </c>
      <c r="G192" s="107">
        <f t="shared" si="53"/>
        <v>168445200</v>
      </c>
      <c r="H192" s="107"/>
      <c r="I192" s="107">
        <f t="shared" ref="I192:S192" si="54">I189+I191-I143</f>
        <v>33540000</v>
      </c>
      <c r="J192" s="107">
        <f t="shared" si="54"/>
        <v>20223000</v>
      </c>
      <c r="K192" s="107">
        <f t="shared" si="54"/>
        <v>20262000</v>
      </c>
      <c r="L192" s="107">
        <f t="shared" si="54"/>
        <v>19659000</v>
      </c>
      <c r="M192" s="107">
        <f t="shared" si="54"/>
        <v>5013000</v>
      </c>
      <c r="N192" s="107">
        <f t="shared" si="54"/>
        <v>10544000</v>
      </c>
      <c r="O192" s="107">
        <f t="shared" si="54"/>
        <v>12729000</v>
      </c>
      <c r="P192" s="107">
        <f t="shared" si="54"/>
        <v>21834000</v>
      </c>
      <c r="Q192" s="107">
        <f t="shared" si="54"/>
        <v>8824000</v>
      </c>
      <c r="R192" s="107">
        <f t="shared" si="54"/>
        <v>152628000</v>
      </c>
      <c r="S192" s="107">
        <f t="shared" si="54"/>
        <v>321073200</v>
      </c>
      <c r="T192" s="107"/>
      <c r="U192" s="107"/>
      <c r="V192" s="107"/>
      <c r="W192" s="107">
        <f>W189+S191</f>
        <v>3541984000</v>
      </c>
      <c r="X192" s="107"/>
    </row>
    <row r="193" spans="1:24" x14ac:dyDescent="0.2">
      <c r="H193" s="107"/>
      <c r="W193" s="107"/>
    </row>
    <row r="194" spans="1:24" x14ac:dyDescent="0.2">
      <c r="A194" s="112" t="s">
        <v>52</v>
      </c>
      <c r="B194" s="107">
        <v>0</v>
      </c>
      <c r="C194" s="107">
        <v>2574000</v>
      </c>
      <c r="D194" s="107">
        <v>4488000</v>
      </c>
      <c r="E194" s="107">
        <v>1746000</v>
      </c>
      <c r="F194" s="107">
        <v>1500000</v>
      </c>
      <c r="G194" s="107">
        <f>SUM(B194:F194)</f>
        <v>10308000</v>
      </c>
      <c r="H194" s="107"/>
      <c r="I194" s="107">
        <v>2544000</v>
      </c>
      <c r="J194" s="107">
        <v>792000</v>
      </c>
      <c r="K194" s="107">
        <v>1185000</v>
      </c>
      <c r="L194" s="107">
        <v>1269000</v>
      </c>
      <c r="M194" s="107">
        <v>0</v>
      </c>
      <c r="N194" s="107">
        <v>1048000</v>
      </c>
      <c r="O194" s="107">
        <v>1638000</v>
      </c>
      <c r="P194" s="107">
        <v>1746000</v>
      </c>
      <c r="Q194" s="107">
        <v>532000</v>
      </c>
      <c r="R194" s="107">
        <f>SUM(I194:Q194)</f>
        <v>10754000</v>
      </c>
      <c r="S194" s="107">
        <f>R194+G194</f>
        <v>21062000</v>
      </c>
      <c r="T194" s="107"/>
      <c r="U194" s="107"/>
      <c r="V194" s="107"/>
      <c r="W194" s="107"/>
    </row>
    <row r="195" spans="1:24" x14ac:dyDescent="0.2">
      <c r="A195" s="112" t="s">
        <v>42</v>
      </c>
      <c r="B195" s="107">
        <f t="shared" ref="B195:G195" si="55">B192+B194-B146</f>
        <v>2846400</v>
      </c>
      <c r="C195" s="107">
        <f t="shared" si="55"/>
        <v>37752000</v>
      </c>
      <c r="D195" s="107">
        <f t="shared" si="55"/>
        <v>53640000</v>
      </c>
      <c r="E195" s="107">
        <f t="shared" si="55"/>
        <v>44154000</v>
      </c>
      <c r="F195" s="107">
        <f t="shared" si="55"/>
        <v>26484000</v>
      </c>
      <c r="G195" s="107">
        <f t="shared" si="55"/>
        <v>164876400</v>
      </c>
      <c r="H195" s="107"/>
      <c r="I195" s="107">
        <f t="shared" ref="I195:S195" si="56">I192+I194-I146</f>
        <v>30588000</v>
      </c>
      <c r="J195" s="107">
        <f t="shared" si="56"/>
        <v>17352000</v>
      </c>
      <c r="K195" s="107">
        <f t="shared" si="56"/>
        <v>19818000</v>
      </c>
      <c r="L195" s="107">
        <f t="shared" si="56"/>
        <v>19308000</v>
      </c>
      <c r="M195" s="107">
        <f t="shared" si="56"/>
        <v>4122000</v>
      </c>
      <c r="N195" s="107">
        <f t="shared" si="56"/>
        <v>10662000</v>
      </c>
      <c r="O195" s="107">
        <f t="shared" si="56"/>
        <v>14367000</v>
      </c>
      <c r="P195" s="107">
        <f t="shared" si="56"/>
        <v>23376000</v>
      </c>
      <c r="Q195" s="107">
        <f t="shared" si="56"/>
        <v>7228000</v>
      </c>
      <c r="R195" s="107">
        <f t="shared" si="56"/>
        <v>146821000</v>
      </c>
      <c r="S195" s="107">
        <f t="shared" si="56"/>
        <v>311697400</v>
      </c>
      <c r="T195" s="107"/>
      <c r="U195" s="107"/>
      <c r="V195" s="107"/>
      <c r="W195" s="107">
        <f>W192+S194</f>
        <v>3563046000</v>
      </c>
    </row>
    <row r="196" spans="1:24" x14ac:dyDescent="0.2">
      <c r="H196" s="107"/>
      <c r="W196" s="107"/>
    </row>
    <row r="197" spans="1:24" x14ac:dyDescent="0.2">
      <c r="A197" s="112" t="s">
        <v>53</v>
      </c>
      <c r="B197" s="107">
        <v>0</v>
      </c>
      <c r="C197" s="107">
        <v>2322000</v>
      </c>
      <c r="D197" s="107">
        <v>3864000</v>
      </c>
      <c r="E197" s="107">
        <v>3168000</v>
      </c>
      <c r="F197" s="107">
        <v>2310000</v>
      </c>
      <c r="G197" s="107">
        <f>SUM(B197:F197)</f>
        <v>11664000</v>
      </c>
      <c r="H197" s="107"/>
      <c r="I197" s="107">
        <v>1224000</v>
      </c>
      <c r="J197" s="107">
        <v>648000</v>
      </c>
      <c r="K197" s="107">
        <v>1524000</v>
      </c>
      <c r="L197" s="107">
        <v>1530000</v>
      </c>
      <c r="M197" s="107">
        <v>279000</v>
      </c>
      <c r="N197" s="107">
        <v>924000</v>
      </c>
      <c r="O197" s="107">
        <v>1116000</v>
      </c>
      <c r="P197" s="107">
        <v>2508000</v>
      </c>
      <c r="Q197" s="107">
        <v>2036000</v>
      </c>
      <c r="R197" s="107">
        <f>SUM(I197:Q197)</f>
        <v>11789000</v>
      </c>
      <c r="S197" s="107">
        <f>R197+G197</f>
        <v>23453000</v>
      </c>
      <c r="T197" s="107"/>
      <c r="U197" s="107"/>
      <c r="V197" s="107"/>
      <c r="W197" s="107"/>
    </row>
    <row r="198" spans="1:24" x14ac:dyDescent="0.2">
      <c r="A198" s="112" t="s">
        <v>42</v>
      </c>
      <c r="B198" s="107">
        <f t="shared" ref="B198:G198" si="57">B195+B197-B149</f>
        <v>2328000</v>
      </c>
      <c r="C198" s="107">
        <f t="shared" si="57"/>
        <v>37032000</v>
      </c>
      <c r="D198" s="107">
        <f t="shared" si="57"/>
        <v>51912000</v>
      </c>
      <c r="E198" s="107">
        <f t="shared" si="57"/>
        <v>45369000</v>
      </c>
      <c r="F198" s="107">
        <f t="shared" si="57"/>
        <v>25758000</v>
      </c>
      <c r="G198" s="107">
        <f t="shared" si="57"/>
        <v>162399000</v>
      </c>
      <c r="H198" s="107"/>
      <c r="I198" s="107">
        <f t="shared" ref="I198:S198" si="58">I195+I197-I149</f>
        <v>26400000</v>
      </c>
      <c r="J198" s="107">
        <f t="shared" si="58"/>
        <v>14418000</v>
      </c>
      <c r="K198" s="107">
        <f t="shared" si="58"/>
        <v>19548000</v>
      </c>
      <c r="L198" s="107">
        <f t="shared" si="58"/>
        <v>19089000</v>
      </c>
      <c r="M198" s="107">
        <f t="shared" si="58"/>
        <v>4401000</v>
      </c>
      <c r="N198" s="107">
        <f t="shared" si="58"/>
        <v>10834000</v>
      </c>
      <c r="O198" s="107">
        <f t="shared" si="58"/>
        <v>15483000</v>
      </c>
      <c r="P198" s="107">
        <f t="shared" si="58"/>
        <v>25884000</v>
      </c>
      <c r="Q198" s="107">
        <f t="shared" si="58"/>
        <v>6888000</v>
      </c>
      <c r="R198" s="107">
        <f t="shared" si="58"/>
        <v>142945000</v>
      </c>
      <c r="S198" s="107">
        <f t="shared" si="58"/>
        <v>305344000</v>
      </c>
      <c r="T198" s="107"/>
      <c r="U198" s="107"/>
      <c r="V198" s="107"/>
      <c r="W198" s="107">
        <f>W195+S197</f>
        <v>3586499000</v>
      </c>
    </row>
    <row r="199" spans="1:24" x14ac:dyDescent="0.2">
      <c r="H199" s="107"/>
      <c r="W199" s="107"/>
    </row>
    <row r="200" spans="1:24" x14ac:dyDescent="0.2">
      <c r="H200" s="107"/>
      <c r="L200" s="109"/>
      <c r="M200" s="110"/>
      <c r="W200" s="107"/>
    </row>
    <row r="201" spans="1:24" x14ac:dyDescent="0.2">
      <c r="H201" s="107"/>
      <c r="W201" s="107"/>
    </row>
    <row r="202" spans="1:24" x14ac:dyDescent="0.2">
      <c r="H202" s="107"/>
      <c r="W202" s="107"/>
    </row>
    <row r="203" spans="1:24" x14ac:dyDescent="0.2">
      <c r="H203" s="107"/>
      <c r="W203" s="107"/>
    </row>
    <row r="204" spans="1:24" x14ac:dyDescent="0.2">
      <c r="H204" s="107"/>
      <c r="W204" s="107"/>
    </row>
    <row r="205" spans="1:24" x14ac:dyDescent="0.2">
      <c r="H205" s="107"/>
      <c r="W205" s="107"/>
    </row>
    <row r="206" spans="1:24" x14ac:dyDescent="0.2">
      <c r="H206" s="107"/>
      <c r="W206" s="107"/>
    </row>
    <row r="207" spans="1:24" x14ac:dyDescent="0.2">
      <c r="D207" s="108" t="s">
        <v>99</v>
      </c>
      <c r="H207" s="107"/>
      <c r="L207" s="109">
        <f ca="1">NOW()</f>
        <v>42312.648458217591</v>
      </c>
      <c r="M207" s="110">
        <f ca="1">NOW()</f>
        <v>42312.648458217591</v>
      </c>
      <c r="O207" s="108" t="s">
        <v>100</v>
      </c>
      <c r="W207" s="107"/>
    </row>
    <row r="208" spans="1:24" x14ac:dyDescent="0.2">
      <c r="D208" s="108" t="s">
        <v>2</v>
      </c>
      <c r="F208" s="108" t="s">
        <v>2</v>
      </c>
      <c r="H208" s="107"/>
      <c r="I208" s="108" t="s">
        <v>3</v>
      </c>
      <c r="J208" s="108" t="s">
        <v>4</v>
      </c>
      <c r="W208" s="107"/>
      <c r="X208" s="107"/>
    </row>
    <row r="209" spans="1:24" x14ac:dyDescent="0.2">
      <c r="F209" s="108" t="s">
        <v>93</v>
      </c>
      <c r="H209" s="107"/>
      <c r="W209" s="107"/>
    </row>
    <row r="210" spans="1:24" x14ac:dyDescent="0.2">
      <c r="H210" s="107"/>
      <c r="W210" s="111" t="s">
        <v>7</v>
      </c>
    </row>
    <row r="211" spans="1:24" x14ac:dyDescent="0.2">
      <c r="B211" s="108" t="s">
        <v>94</v>
      </c>
      <c r="H211" s="107"/>
      <c r="I211" s="108" t="s">
        <v>95</v>
      </c>
      <c r="W211" s="111" t="s">
        <v>10</v>
      </c>
      <c r="X211" s="107"/>
    </row>
    <row r="212" spans="1:24" x14ac:dyDescent="0.2">
      <c r="B212" s="112" t="s">
        <v>11</v>
      </c>
      <c r="C212" s="112" t="s">
        <v>12</v>
      </c>
      <c r="D212" s="112" t="s">
        <v>13</v>
      </c>
      <c r="E212" s="112" t="s">
        <v>14</v>
      </c>
      <c r="F212" s="112" t="s">
        <v>15</v>
      </c>
      <c r="G212" s="112" t="s">
        <v>16</v>
      </c>
      <c r="H212" s="107"/>
      <c r="I212" s="112" t="s">
        <v>17</v>
      </c>
      <c r="N212" s="112" t="s">
        <v>18</v>
      </c>
      <c r="O212" s="112" t="s">
        <v>19</v>
      </c>
      <c r="P212" s="112" t="s">
        <v>20</v>
      </c>
      <c r="Q212" s="112" t="s">
        <v>21</v>
      </c>
      <c r="R212" s="112" t="s">
        <v>16</v>
      </c>
      <c r="S212" s="112" t="s">
        <v>7</v>
      </c>
      <c r="T212" s="112"/>
      <c r="U212" s="112"/>
      <c r="V212" s="112"/>
      <c r="W212" s="111" t="s">
        <v>22</v>
      </c>
    </row>
    <row r="213" spans="1:24" x14ac:dyDescent="0.2">
      <c r="B213" s="112" t="s">
        <v>23</v>
      </c>
      <c r="C213" s="112" t="s">
        <v>24</v>
      </c>
      <c r="D213" s="112" t="s">
        <v>25</v>
      </c>
      <c r="E213" s="112" t="s">
        <v>26</v>
      </c>
      <c r="F213" s="112" t="s">
        <v>27</v>
      </c>
      <c r="G213" s="112" t="s">
        <v>28</v>
      </c>
      <c r="H213" s="107"/>
      <c r="I213" s="112" t="s">
        <v>29</v>
      </c>
      <c r="J213" s="112" t="s">
        <v>30</v>
      </c>
      <c r="K213" s="112" t="s">
        <v>31</v>
      </c>
      <c r="L213" s="112" t="s">
        <v>32</v>
      </c>
      <c r="M213" s="112" t="s">
        <v>33</v>
      </c>
      <c r="N213" s="112" t="s">
        <v>34</v>
      </c>
      <c r="O213" s="112" t="s">
        <v>35</v>
      </c>
      <c r="P213" s="112" t="s">
        <v>36</v>
      </c>
      <c r="Q213" s="112" t="s">
        <v>37</v>
      </c>
      <c r="R213" s="112" t="s">
        <v>28</v>
      </c>
      <c r="S213" s="112" t="s">
        <v>10</v>
      </c>
      <c r="T213" s="112"/>
      <c r="U213" s="112"/>
      <c r="V213" s="112"/>
      <c r="W213" s="111" t="s">
        <v>38</v>
      </c>
      <c r="X213" s="107"/>
    </row>
    <row r="214" spans="1:24" x14ac:dyDescent="0.2">
      <c r="B214" s="112" t="s">
        <v>39</v>
      </c>
      <c r="C214" s="112" t="s">
        <v>40</v>
      </c>
      <c r="D214" s="112" t="s">
        <v>40</v>
      </c>
      <c r="E214" s="112" t="s">
        <v>40</v>
      </c>
      <c r="F214" s="112" t="s">
        <v>40</v>
      </c>
      <c r="G214" s="112" t="s">
        <v>40</v>
      </c>
      <c r="H214" s="107"/>
      <c r="I214" s="112" t="s">
        <v>40</v>
      </c>
      <c r="J214" s="112" t="s">
        <v>40</v>
      </c>
      <c r="K214" s="112" t="s">
        <v>40</v>
      </c>
      <c r="L214" s="112" t="s">
        <v>40</v>
      </c>
      <c r="M214" s="112" t="s">
        <v>40</v>
      </c>
      <c r="N214" s="112" t="s">
        <v>40</v>
      </c>
      <c r="O214" s="112" t="s">
        <v>40</v>
      </c>
      <c r="P214" s="112" t="s">
        <v>40</v>
      </c>
      <c r="Q214" s="112" t="s">
        <v>40</v>
      </c>
      <c r="R214" s="112" t="s">
        <v>40</v>
      </c>
      <c r="S214" s="112" t="s">
        <v>40</v>
      </c>
      <c r="T214" s="112"/>
      <c r="U214" s="112"/>
      <c r="V214" s="112"/>
      <c r="W214" s="111" t="s">
        <v>40</v>
      </c>
      <c r="X214" s="107"/>
    </row>
    <row r="215" spans="1:24" x14ac:dyDescent="0.2">
      <c r="A215" s="112" t="s">
        <v>41</v>
      </c>
      <c r="B215" s="107">
        <v>0</v>
      </c>
      <c r="C215" s="107">
        <v>2832000</v>
      </c>
      <c r="D215" s="107">
        <v>4104000</v>
      </c>
      <c r="E215" s="107">
        <v>1062000</v>
      </c>
      <c r="F215" s="107">
        <v>1518000</v>
      </c>
      <c r="G215" s="107">
        <f>SUM(B215:F215)</f>
        <v>9516000</v>
      </c>
      <c r="H215" s="107"/>
      <c r="I215" s="107">
        <v>0</v>
      </c>
      <c r="J215" s="107">
        <v>0</v>
      </c>
      <c r="K215" s="107">
        <v>1791000</v>
      </c>
      <c r="L215" s="107">
        <v>1809000</v>
      </c>
      <c r="M215" s="107">
        <v>0</v>
      </c>
      <c r="N215" s="107">
        <v>838000</v>
      </c>
      <c r="O215" s="107">
        <v>1680000</v>
      </c>
      <c r="P215" s="107">
        <v>822000</v>
      </c>
      <c r="Q215" s="107">
        <v>484000</v>
      </c>
      <c r="R215" s="107">
        <f>SUM(I215:Q215)</f>
        <v>7424000</v>
      </c>
      <c r="S215" s="107">
        <f>R215+G215</f>
        <v>16940000</v>
      </c>
      <c r="T215" s="107"/>
      <c r="U215" s="107"/>
      <c r="V215" s="107"/>
      <c r="W215" s="107"/>
    </row>
    <row r="216" spans="1:24" x14ac:dyDescent="0.2">
      <c r="A216" s="112" t="s">
        <v>42</v>
      </c>
      <c r="B216" s="107">
        <f t="shared" ref="B216:G216" si="59">B198+B215-B164</f>
        <v>2260800</v>
      </c>
      <c r="C216" s="107">
        <f t="shared" si="59"/>
        <v>36432000</v>
      </c>
      <c r="D216" s="107">
        <f t="shared" si="59"/>
        <v>52596000</v>
      </c>
      <c r="E216" s="107">
        <f t="shared" si="59"/>
        <v>46278000</v>
      </c>
      <c r="F216" s="107">
        <f t="shared" si="59"/>
        <v>24984000</v>
      </c>
      <c r="G216" s="107">
        <f t="shared" si="59"/>
        <v>162550800</v>
      </c>
      <c r="H216" s="107"/>
      <c r="I216" s="107">
        <f t="shared" ref="I216:S216" si="60">I198+I215-I164</f>
        <v>25476000</v>
      </c>
      <c r="J216" s="107">
        <f t="shared" si="60"/>
        <v>13815000</v>
      </c>
      <c r="K216" s="107">
        <f t="shared" si="60"/>
        <v>19566000</v>
      </c>
      <c r="L216" s="107">
        <f t="shared" si="60"/>
        <v>19191000</v>
      </c>
      <c r="M216" s="107">
        <f t="shared" si="60"/>
        <v>4401000</v>
      </c>
      <c r="N216" s="107">
        <f t="shared" si="60"/>
        <v>11010000</v>
      </c>
      <c r="O216" s="107">
        <f t="shared" si="60"/>
        <v>15873000</v>
      </c>
      <c r="P216" s="107">
        <f t="shared" si="60"/>
        <v>26706000</v>
      </c>
      <c r="Q216" s="107">
        <f t="shared" si="60"/>
        <v>7372000</v>
      </c>
      <c r="R216" s="107">
        <f t="shared" si="60"/>
        <v>143410000</v>
      </c>
      <c r="S216" s="107">
        <f t="shared" si="60"/>
        <v>305960800</v>
      </c>
      <c r="T216" s="107"/>
      <c r="U216" s="107"/>
      <c r="V216" s="107"/>
      <c r="W216" s="107">
        <f>W198+S215</f>
        <v>3603439000</v>
      </c>
    </row>
    <row r="217" spans="1:24" x14ac:dyDescent="0.2">
      <c r="H217" s="107"/>
      <c r="W217" s="107"/>
      <c r="X217" s="107"/>
    </row>
    <row r="218" spans="1:24" x14ac:dyDescent="0.2">
      <c r="A218" s="112" t="s">
        <v>43</v>
      </c>
      <c r="B218" s="107">
        <v>0</v>
      </c>
      <c r="C218" s="107">
        <v>3132000</v>
      </c>
      <c r="D218" s="107">
        <v>4764000</v>
      </c>
      <c r="E218" s="107">
        <v>0</v>
      </c>
      <c r="F218" s="107">
        <v>1698000</v>
      </c>
      <c r="G218" s="107">
        <f>SUM(B218:F218)</f>
        <v>9594000</v>
      </c>
      <c r="H218" s="107"/>
      <c r="I218" s="107">
        <v>0</v>
      </c>
      <c r="J218" s="107">
        <v>0</v>
      </c>
      <c r="K218" s="107">
        <v>1782000</v>
      </c>
      <c r="L218" s="107">
        <v>1698000</v>
      </c>
      <c r="M218" s="107">
        <v>0</v>
      </c>
      <c r="N218" s="107">
        <v>850000</v>
      </c>
      <c r="O218" s="107">
        <v>1557000</v>
      </c>
      <c r="P218" s="107">
        <v>0</v>
      </c>
      <c r="Q218" s="107">
        <v>128000</v>
      </c>
      <c r="R218" s="107">
        <f>SUM(I218:Q218)</f>
        <v>6015000</v>
      </c>
      <c r="S218" s="107">
        <f>R218+G218</f>
        <v>15609000</v>
      </c>
      <c r="T218" s="107"/>
      <c r="U218" s="107"/>
      <c r="V218" s="107"/>
      <c r="W218" s="107"/>
    </row>
    <row r="219" spans="1:24" x14ac:dyDescent="0.2">
      <c r="A219" s="112" t="s">
        <v>42</v>
      </c>
      <c r="B219" s="107">
        <f t="shared" ref="B219:G219" si="61">B216+B218-B167</f>
        <v>2260800</v>
      </c>
      <c r="C219" s="107">
        <f t="shared" si="61"/>
        <v>36636000</v>
      </c>
      <c r="D219" s="107">
        <f t="shared" si="61"/>
        <v>54168000</v>
      </c>
      <c r="E219" s="107">
        <f t="shared" si="61"/>
        <v>46278000</v>
      </c>
      <c r="F219" s="107">
        <f t="shared" si="61"/>
        <v>24660000</v>
      </c>
      <c r="G219" s="107">
        <f t="shared" si="61"/>
        <v>164002800</v>
      </c>
      <c r="H219" s="107"/>
      <c r="I219" s="107">
        <f t="shared" ref="I219:S219" si="62">I216+I218-I167</f>
        <v>25476000</v>
      </c>
      <c r="J219" s="107">
        <f t="shared" si="62"/>
        <v>13815000</v>
      </c>
      <c r="K219" s="107">
        <f t="shared" si="62"/>
        <v>19782000</v>
      </c>
      <c r="L219" s="107">
        <f t="shared" si="62"/>
        <v>19416000</v>
      </c>
      <c r="M219" s="107">
        <f t="shared" si="62"/>
        <v>4401000</v>
      </c>
      <c r="N219" s="107">
        <f t="shared" si="62"/>
        <v>11170000</v>
      </c>
      <c r="O219" s="107">
        <f t="shared" si="62"/>
        <v>16131000</v>
      </c>
      <c r="P219" s="107">
        <f t="shared" si="62"/>
        <v>26706000</v>
      </c>
      <c r="Q219" s="107">
        <f t="shared" si="62"/>
        <v>7500000</v>
      </c>
      <c r="R219" s="107">
        <f t="shared" si="62"/>
        <v>144397000</v>
      </c>
      <c r="S219" s="107">
        <f t="shared" si="62"/>
        <v>308399800</v>
      </c>
      <c r="T219" s="107"/>
      <c r="U219" s="107"/>
      <c r="V219" s="107"/>
      <c r="W219" s="107">
        <f>W216+S218</f>
        <v>3619048000</v>
      </c>
    </row>
    <row r="220" spans="1:24" x14ac:dyDescent="0.2">
      <c r="B220" s="107"/>
      <c r="C220" s="107"/>
      <c r="D220" s="107"/>
      <c r="E220" s="107"/>
      <c r="F220" s="107"/>
      <c r="G220" s="107"/>
      <c r="H220" s="107"/>
      <c r="I220" s="107"/>
      <c r="J220" s="107"/>
      <c r="K220" s="107"/>
      <c r="L220" s="107"/>
      <c r="M220" s="107"/>
      <c r="N220" s="107"/>
      <c r="O220" s="107"/>
      <c r="P220" s="107"/>
      <c r="Q220" s="107"/>
      <c r="R220" s="107"/>
      <c r="S220" s="107"/>
      <c r="T220" s="107"/>
      <c r="U220" s="107"/>
      <c r="V220" s="107"/>
      <c r="W220" s="107"/>
      <c r="X220" s="107"/>
    </row>
    <row r="221" spans="1:24" x14ac:dyDescent="0.2">
      <c r="A221" s="112" t="s">
        <v>44</v>
      </c>
      <c r="B221" s="107">
        <v>0</v>
      </c>
      <c r="C221" s="107">
        <v>3546000</v>
      </c>
      <c r="D221" s="107">
        <v>384000</v>
      </c>
      <c r="E221" s="107">
        <v>0</v>
      </c>
      <c r="F221" s="107">
        <v>2802000</v>
      </c>
      <c r="G221" s="107">
        <f>SUM(B221:F221)</f>
        <v>6732000</v>
      </c>
      <c r="H221" s="107"/>
      <c r="I221" s="107">
        <v>0</v>
      </c>
      <c r="J221" s="107">
        <v>0</v>
      </c>
      <c r="K221" s="107">
        <v>1953000</v>
      </c>
      <c r="L221" s="107">
        <v>1797000</v>
      </c>
      <c r="M221" s="107">
        <v>0</v>
      </c>
      <c r="N221" s="107">
        <v>1050000</v>
      </c>
      <c r="O221" s="107">
        <v>1650000</v>
      </c>
      <c r="P221" s="107">
        <v>0</v>
      </c>
      <c r="Q221" s="107">
        <v>0</v>
      </c>
      <c r="R221" s="107">
        <f>SUM(I221:Q221)</f>
        <v>6450000</v>
      </c>
      <c r="S221" s="107">
        <f>R221+G221</f>
        <v>13182000</v>
      </c>
      <c r="T221" s="107"/>
      <c r="U221" s="107"/>
      <c r="V221" s="107"/>
      <c r="W221" s="107"/>
    </row>
    <row r="222" spans="1:24" x14ac:dyDescent="0.2">
      <c r="A222" s="112" t="s">
        <v>42</v>
      </c>
      <c r="B222" s="107">
        <f t="shared" ref="B222:G222" si="63">B219+B221-B170</f>
        <v>2260800</v>
      </c>
      <c r="C222" s="107">
        <f t="shared" si="63"/>
        <v>36660000</v>
      </c>
      <c r="D222" s="107">
        <f t="shared" si="63"/>
        <v>52908000</v>
      </c>
      <c r="E222" s="107">
        <f t="shared" si="63"/>
        <v>46107000</v>
      </c>
      <c r="F222" s="107">
        <f t="shared" si="63"/>
        <v>25806000</v>
      </c>
      <c r="G222" s="107">
        <f t="shared" si="63"/>
        <v>163741800</v>
      </c>
      <c r="H222" s="107"/>
      <c r="I222" s="107">
        <f t="shared" ref="I222:S222" si="64">I219+I221-I170</f>
        <v>25476000</v>
      </c>
      <c r="J222" s="107">
        <f t="shared" si="64"/>
        <v>13815000</v>
      </c>
      <c r="K222" s="107">
        <f t="shared" si="64"/>
        <v>20547000</v>
      </c>
      <c r="L222" s="107">
        <f t="shared" si="64"/>
        <v>20157000</v>
      </c>
      <c r="M222" s="107">
        <f t="shared" si="64"/>
        <v>4401000</v>
      </c>
      <c r="N222" s="107">
        <f t="shared" si="64"/>
        <v>11572000</v>
      </c>
      <c r="O222" s="107">
        <f t="shared" si="64"/>
        <v>16632000</v>
      </c>
      <c r="P222" s="107">
        <f t="shared" si="64"/>
        <v>24996000</v>
      </c>
      <c r="Q222" s="107">
        <f t="shared" si="64"/>
        <v>7500000</v>
      </c>
      <c r="R222" s="107">
        <f t="shared" si="64"/>
        <v>145096000</v>
      </c>
      <c r="S222" s="107">
        <f t="shared" si="64"/>
        <v>308837800</v>
      </c>
      <c r="T222" s="107"/>
      <c r="U222" s="107"/>
      <c r="V222" s="107"/>
      <c r="W222" s="107">
        <f>W219+S221</f>
        <v>3632230000</v>
      </c>
    </row>
    <row r="223" spans="1:24" x14ac:dyDescent="0.2">
      <c r="H223" s="107"/>
      <c r="W223" s="107"/>
      <c r="X223" s="107"/>
    </row>
    <row r="224" spans="1:24" x14ac:dyDescent="0.2">
      <c r="A224" s="112" t="s">
        <v>45</v>
      </c>
      <c r="B224" s="107">
        <v>43200</v>
      </c>
      <c r="C224" s="107">
        <v>3300000</v>
      </c>
      <c r="D224" s="107">
        <v>4200000</v>
      </c>
      <c r="E224" s="107">
        <v>45000</v>
      </c>
      <c r="F224" s="107">
        <v>2736000</v>
      </c>
      <c r="G224" s="107">
        <f>SUM(B224:F224)</f>
        <v>10324200</v>
      </c>
      <c r="H224" s="107"/>
      <c r="I224" s="107">
        <v>1440000</v>
      </c>
      <c r="J224" s="107">
        <v>567000</v>
      </c>
      <c r="K224" s="107">
        <v>1518000</v>
      </c>
      <c r="L224" s="107">
        <v>1473000</v>
      </c>
      <c r="M224" s="107">
        <v>621000</v>
      </c>
      <c r="N224" s="107">
        <v>638000</v>
      </c>
      <c r="O224" s="107">
        <v>1254000</v>
      </c>
      <c r="P224" s="107">
        <v>84000</v>
      </c>
      <c r="Q224" s="107">
        <v>0</v>
      </c>
      <c r="R224" s="107">
        <f>SUM(I224:Q224)</f>
        <v>7595000</v>
      </c>
      <c r="S224" s="107">
        <f>R224+G224</f>
        <v>17919200</v>
      </c>
      <c r="T224" s="107"/>
      <c r="U224" s="107"/>
      <c r="V224" s="107"/>
      <c r="W224" s="107"/>
    </row>
    <row r="225" spans="1:24" x14ac:dyDescent="0.2">
      <c r="A225" s="112" t="s">
        <v>42</v>
      </c>
      <c r="B225" s="107">
        <f t="shared" ref="B225:G225" si="65">B222+B224-B173</f>
        <v>1953600</v>
      </c>
      <c r="C225" s="107">
        <f t="shared" si="65"/>
        <v>36786000</v>
      </c>
      <c r="D225" s="107">
        <f t="shared" si="65"/>
        <v>52524000</v>
      </c>
      <c r="E225" s="107">
        <f t="shared" si="65"/>
        <v>43722000</v>
      </c>
      <c r="F225" s="107">
        <f t="shared" si="65"/>
        <v>26244000</v>
      </c>
      <c r="G225" s="107">
        <f t="shared" si="65"/>
        <v>161229600</v>
      </c>
      <c r="H225" s="107"/>
      <c r="I225" s="107">
        <f t="shared" ref="I225:S225" si="66">I222+I224-I173</f>
        <v>24336000</v>
      </c>
      <c r="J225" s="107">
        <f t="shared" si="66"/>
        <v>12717000</v>
      </c>
      <c r="K225" s="107">
        <f t="shared" si="66"/>
        <v>20520000</v>
      </c>
      <c r="L225" s="107">
        <f t="shared" si="66"/>
        <v>20331000</v>
      </c>
      <c r="M225" s="107">
        <f t="shared" si="66"/>
        <v>5022000</v>
      </c>
      <c r="N225" s="107">
        <f t="shared" si="66"/>
        <v>11378000</v>
      </c>
      <c r="O225" s="107">
        <f t="shared" si="66"/>
        <v>16812000</v>
      </c>
      <c r="P225" s="107">
        <f t="shared" si="66"/>
        <v>21822000</v>
      </c>
      <c r="Q225" s="107">
        <f t="shared" si="66"/>
        <v>7280000</v>
      </c>
      <c r="R225" s="107">
        <f t="shared" si="66"/>
        <v>140218000</v>
      </c>
      <c r="S225" s="107">
        <f t="shared" si="66"/>
        <v>301447600</v>
      </c>
      <c r="T225" s="107"/>
      <c r="U225" s="107"/>
      <c r="V225" s="107"/>
      <c r="W225" s="107">
        <f>W222+S224</f>
        <v>3650149200</v>
      </c>
    </row>
    <row r="226" spans="1:24" x14ac:dyDescent="0.2">
      <c r="H226" s="107"/>
      <c r="W226" s="107"/>
      <c r="X226" s="107"/>
    </row>
    <row r="227" spans="1:24" x14ac:dyDescent="0.2">
      <c r="A227" s="112" t="s">
        <v>46</v>
      </c>
      <c r="B227" s="107">
        <v>758400</v>
      </c>
      <c r="C227" s="107">
        <v>3516000</v>
      </c>
      <c r="D227" s="107">
        <v>4224000</v>
      </c>
      <c r="E227" s="107">
        <v>4176000</v>
      </c>
      <c r="F227" s="107">
        <v>2760000</v>
      </c>
      <c r="G227" s="107">
        <f>SUM(B227:F227)</f>
        <v>15434400</v>
      </c>
      <c r="H227" s="107"/>
      <c r="I227" s="107">
        <v>5448000</v>
      </c>
      <c r="J227" s="107">
        <v>3735000</v>
      </c>
      <c r="K227" s="107">
        <v>1788000</v>
      </c>
      <c r="L227" s="107">
        <v>1755000</v>
      </c>
      <c r="M227" s="107">
        <v>0</v>
      </c>
      <c r="N227" s="107">
        <v>1138000</v>
      </c>
      <c r="O227" s="107">
        <v>1494000</v>
      </c>
      <c r="P227" s="107">
        <v>0</v>
      </c>
      <c r="Q227" s="107">
        <v>0</v>
      </c>
      <c r="R227" s="107">
        <f>SUM(I227:Q227)</f>
        <v>15358000</v>
      </c>
      <c r="S227" s="107">
        <f>R227+G227</f>
        <v>30792400</v>
      </c>
      <c r="T227" s="107"/>
      <c r="U227" s="107"/>
      <c r="V227" s="107"/>
      <c r="W227" s="107"/>
    </row>
    <row r="228" spans="1:24" x14ac:dyDescent="0.2">
      <c r="A228" s="112" t="s">
        <v>42</v>
      </c>
      <c r="B228" s="107">
        <f t="shared" ref="B228:G228" si="67">B225+B227-B176</f>
        <v>2289600</v>
      </c>
      <c r="C228" s="107">
        <f t="shared" si="67"/>
        <v>36822000</v>
      </c>
      <c r="D228" s="107">
        <f t="shared" si="67"/>
        <v>52812000</v>
      </c>
      <c r="E228" s="107">
        <f t="shared" si="67"/>
        <v>41373000</v>
      </c>
      <c r="F228" s="107">
        <f t="shared" si="67"/>
        <v>26514000</v>
      </c>
      <c r="G228" s="107">
        <f t="shared" si="67"/>
        <v>159810600</v>
      </c>
      <c r="H228" s="107"/>
      <c r="I228" s="107">
        <f t="shared" ref="I228:S228" si="68">I225+I227-I176</f>
        <v>27012000</v>
      </c>
      <c r="J228" s="107">
        <f t="shared" si="68"/>
        <v>14634000</v>
      </c>
      <c r="K228" s="107">
        <f t="shared" si="68"/>
        <v>20460000</v>
      </c>
      <c r="L228" s="107">
        <f t="shared" si="68"/>
        <v>20319000</v>
      </c>
      <c r="M228" s="107">
        <f t="shared" si="68"/>
        <v>2952000</v>
      </c>
      <c r="N228" s="107">
        <f t="shared" si="68"/>
        <v>11604000</v>
      </c>
      <c r="O228" s="107">
        <f t="shared" si="68"/>
        <v>17250000</v>
      </c>
      <c r="P228" s="107">
        <f t="shared" si="68"/>
        <v>18462000</v>
      </c>
      <c r="Q228" s="107">
        <f t="shared" si="68"/>
        <v>7280000</v>
      </c>
      <c r="R228" s="107">
        <f t="shared" si="68"/>
        <v>139973000</v>
      </c>
      <c r="S228" s="107">
        <f t="shared" si="68"/>
        <v>299783600</v>
      </c>
      <c r="T228" s="107"/>
      <c r="U228" s="107"/>
      <c r="V228" s="107"/>
      <c r="W228" s="107">
        <f>W225+S227</f>
        <v>3680941600</v>
      </c>
    </row>
    <row r="229" spans="1:24" x14ac:dyDescent="0.2">
      <c r="H229" s="107"/>
      <c r="W229" s="107"/>
      <c r="X229" s="107"/>
    </row>
    <row r="230" spans="1:24" x14ac:dyDescent="0.2">
      <c r="A230" s="112" t="s">
        <v>47</v>
      </c>
      <c r="B230" s="107">
        <v>374400</v>
      </c>
      <c r="C230" s="107">
        <v>3384000</v>
      </c>
      <c r="D230" s="107">
        <v>4212000</v>
      </c>
      <c r="E230" s="107">
        <v>1503000</v>
      </c>
      <c r="F230" s="107">
        <v>2922000</v>
      </c>
      <c r="G230" s="107">
        <f>SUM(B230:F230)</f>
        <v>12395400</v>
      </c>
      <c r="H230" s="107"/>
      <c r="I230" s="107">
        <v>5160000</v>
      </c>
      <c r="J230" s="107">
        <v>3483000</v>
      </c>
      <c r="K230" s="107">
        <v>1521000</v>
      </c>
      <c r="L230" s="107">
        <v>1533000</v>
      </c>
      <c r="M230" s="107">
        <v>0</v>
      </c>
      <c r="N230" s="107">
        <v>1156000</v>
      </c>
      <c r="O230" s="107">
        <v>1656000</v>
      </c>
      <c r="P230" s="107">
        <v>1362000</v>
      </c>
      <c r="Q230" s="107">
        <v>760000</v>
      </c>
      <c r="R230" s="107">
        <f>SUM(I230:Q230)</f>
        <v>16631000</v>
      </c>
      <c r="S230" s="107">
        <f>R230+G230</f>
        <v>29026400</v>
      </c>
      <c r="T230" s="107"/>
      <c r="U230" s="107"/>
      <c r="V230" s="107"/>
      <c r="W230" s="107"/>
    </row>
    <row r="231" spans="1:24" x14ac:dyDescent="0.2">
      <c r="A231" s="112" t="s">
        <v>42</v>
      </c>
      <c r="B231" s="107">
        <f t="shared" ref="B231:G231" si="69">B228+B230-B179</f>
        <v>1963200</v>
      </c>
      <c r="C231" s="107">
        <f t="shared" si="69"/>
        <v>36804000</v>
      </c>
      <c r="D231" s="107">
        <f t="shared" si="69"/>
        <v>51120000</v>
      </c>
      <c r="E231" s="107">
        <f t="shared" si="69"/>
        <v>36855000</v>
      </c>
      <c r="F231" s="107">
        <f t="shared" si="69"/>
        <v>27144000</v>
      </c>
      <c r="G231" s="107">
        <f t="shared" si="69"/>
        <v>153886200</v>
      </c>
      <c r="H231" s="107"/>
      <c r="I231" s="107">
        <f t="shared" ref="I231:S231" si="70">I228+I230-I179</f>
        <v>27804000</v>
      </c>
      <c r="J231" s="107">
        <f t="shared" si="70"/>
        <v>15354000</v>
      </c>
      <c r="K231" s="107">
        <f t="shared" si="70"/>
        <v>20109000</v>
      </c>
      <c r="L231" s="107">
        <f t="shared" si="70"/>
        <v>20031000</v>
      </c>
      <c r="M231" s="107">
        <f t="shared" si="70"/>
        <v>1863000</v>
      </c>
      <c r="N231" s="107">
        <f t="shared" si="70"/>
        <v>11738000</v>
      </c>
      <c r="O231" s="107">
        <f t="shared" si="70"/>
        <v>17778000</v>
      </c>
      <c r="P231" s="107">
        <f t="shared" si="70"/>
        <v>16638000</v>
      </c>
      <c r="Q231" s="107">
        <f t="shared" si="70"/>
        <v>8040000</v>
      </c>
      <c r="R231" s="107">
        <f t="shared" si="70"/>
        <v>139355000</v>
      </c>
      <c r="S231" s="107">
        <f t="shared" si="70"/>
        <v>293241200</v>
      </c>
      <c r="T231" s="107"/>
      <c r="U231" s="107"/>
      <c r="V231" s="107"/>
      <c r="W231" s="107">
        <f>W228+S230</f>
        <v>3709968000</v>
      </c>
    </row>
    <row r="232" spans="1:24" x14ac:dyDescent="0.2">
      <c r="H232" s="107"/>
      <c r="W232" s="107"/>
      <c r="X232" s="107"/>
    </row>
    <row r="233" spans="1:24" x14ac:dyDescent="0.2">
      <c r="A233" s="112" t="s">
        <v>48</v>
      </c>
      <c r="B233" s="107">
        <v>744000</v>
      </c>
      <c r="C233" s="107">
        <v>3126000</v>
      </c>
      <c r="D233" s="107">
        <v>6204000</v>
      </c>
      <c r="E233" s="107">
        <v>1557000</v>
      </c>
      <c r="F233" s="107">
        <v>2904000</v>
      </c>
      <c r="G233" s="107">
        <f>SUM(B233:F233)</f>
        <v>14535000</v>
      </c>
      <c r="H233" s="107"/>
      <c r="I233" s="107">
        <v>4524000</v>
      </c>
      <c r="J233" s="107">
        <v>3096000</v>
      </c>
      <c r="K233" s="107">
        <v>1749000</v>
      </c>
      <c r="L233" s="107">
        <v>1749000</v>
      </c>
      <c r="M233" s="107">
        <v>0</v>
      </c>
      <c r="N233" s="107">
        <v>1214000</v>
      </c>
      <c r="O233" s="107">
        <v>1515000</v>
      </c>
      <c r="P233" s="107">
        <v>1716000</v>
      </c>
      <c r="Q233" s="107">
        <v>136000</v>
      </c>
      <c r="R233" s="107">
        <f>SUM(I233:Q233)</f>
        <v>15699000</v>
      </c>
      <c r="S233" s="107">
        <f>R233+G233</f>
        <v>30234000</v>
      </c>
      <c r="T233" s="107"/>
      <c r="U233" s="107"/>
      <c r="V233" s="107"/>
      <c r="W233" s="107"/>
    </row>
    <row r="234" spans="1:24" x14ac:dyDescent="0.2">
      <c r="A234" s="112" t="s">
        <v>42</v>
      </c>
      <c r="B234" s="107">
        <f t="shared" ref="B234:G234" si="71">B231+B233-B182</f>
        <v>2515200</v>
      </c>
      <c r="C234" s="107">
        <f t="shared" si="71"/>
        <v>36360000</v>
      </c>
      <c r="D234" s="107">
        <f t="shared" si="71"/>
        <v>52056000</v>
      </c>
      <c r="E234" s="107">
        <f t="shared" si="71"/>
        <v>32904000</v>
      </c>
      <c r="F234" s="107">
        <f t="shared" si="71"/>
        <v>27660000</v>
      </c>
      <c r="G234" s="107">
        <f t="shared" si="71"/>
        <v>151495200</v>
      </c>
      <c r="H234" s="107"/>
      <c r="I234" s="107">
        <f t="shared" ref="I234:S234" si="72">I231+I233-I182</f>
        <v>29796000</v>
      </c>
      <c r="J234" s="107">
        <f t="shared" si="72"/>
        <v>17307000</v>
      </c>
      <c r="K234" s="107">
        <f t="shared" si="72"/>
        <v>20073000</v>
      </c>
      <c r="L234" s="107">
        <f t="shared" si="72"/>
        <v>20016000</v>
      </c>
      <c r="M234" s="107">
        <f t="shared" si="72"/>
        <v>1440000</v>
      </c>
      <c r="N234" s="107">
        <f t="shared" si="72"/>
        <v>11942000</v>
      </c>
      <c r="O234" s="107">
        <f t="shared" si="72"/>
        <v>17997000</v>
      </c>
      <c r="P234" s="107">
        <f t="shared" si="72"/>
        <v>15270000</v>
      </c>
      <c r="Q234" s="107">
        <f t="shared" si="72"/>
        <v>7120000</v>
      </c>
      <c r="R234" s="107">
        <f t="shared" si="72"/>
        <v>140961000</v>
      </c>
      <c r="S234" s="107">
        <f t="shared" si="72"/>
        <v>292456200</v>
      </c>
      <c r="T234" s="107"/>
      <c r="U234" s="107"/>
      <c r="V234" s="107"/>
      <c r="W234" s="107">
        <f>W231+S233</f>
        <v>3740202000</v>
      </c>
    </row>
    <row r="235" spans="1:24" x14ac:dyDescent="0.2">
      <c r="H235" s="107"/>
      <c r="W235" s="107"/>
      <c r="X235" s="107"/>
    </row>
    <row r="236" spans="1:24" x14ac:dyDescent="0.2">
      <c r="A236" s="112" t="s">
        <v>49</v>
      </c>
      <c r="B236" s="107">
        <v>729600</v>
      </c>
      <c r="C236" s="107">
        <v>3078000</v>
      </c>
      <c r="D236" s="107">
        <v>5904000</v>
      </c>
      <c r="E236" s="107">
        <v>4392000</v>
      </c>
      <c r="F236" s="107">
        <v>2064000</v>
      </c>
      <c r="G236" s="107">
        <f>SUM(B236:F236)</f>
        <v>16167600</v>
      </c>
      <c r="H236" s="107"/>
      <c r="I236" s="107">
        <v>5712000</v>
      </c>
      <c r="J236" s="107">
        <v>3879000</v>
      </c>
      <c r="K236" s="107">
        <v>1749000</v>
      </c>
      <c r="L236" s="107">
        <v>1665000</v>
      </c>
      <c r="M236" s="107">
        <v>0</v>
      </c>
      <c r="N236" s="107">
        <v>1142000</v>
      </c>
      <c r="O236" s="107">
        <v>1530000</v>
      </c>
      <c r="P236" s="107">
        <v>2436000</v>
      </c>
      <c r="Q236" s="107">
        <v>2356000</v>
      </c>
      <c r="R236" s="107">
        <f>SUM(I236:Q236)</f>
        <v>20469000</v>
      </c>
      <c r="S236" s="107">
        <f>R236+G236</f>
        <v>36636600</v>
      </c>
      <c r="T236" s="107"/>
      <c r="U236" s="107"/>
      <c r="V236" s="107"/>
      <c r="W236" s="107"/>
    </row>
    <row r="237" spans="1:24" x14ac:dyDescent="0.2">
      <c r="A237" s="112" t="s">
        <v>42</v>
      </c>
      <c r="B237" s="107">
        <f t="shared" ref="B237:G237" si="73">B234+B236-B185</f>
        <v>3244800</v>
      </c>
      <c r="C237" s="107">
        <f t="shared" si="73"/>
        <v>36054000</v>
      </c>
      <c r="D237" s="107">
        <f t="shared" si="73"/>
        <v>51984000</v>
      </c>
      <c r="E237" s="107">
        <f t="shared" si="73"/>
        <v>30492000</v>
      </c>
      <c r="F237" s="107">
        <f t="shared" si="73"/>
        <v>28878000</v>
      </c>
      <c r="G237" s="107">
        <f t="shared" si="73"/>
        <v>150652800</v>
      </c>
      <c r="H237" s="107"/>
      <c r="I237" s="107">
        <f t="shared" ref="I237:S237" si="74">I234+I236-I185</f>
        <v>33360000</v>
      </c>
      <c r="J237" s="107">
        <f t="shared" si="74"/>
        <v>21186000</v>
      </c>
      <c r="K237" s="107">
        <f t="shared" si="74"/>
        <v>20181000</v>
      </c>
      <c r="L237" s="107">
        <f t="shared" si="74"/>
        <v>19989000</v>
      </c>
      <c r="M237" s="107">
        <f t="shared" si="74"/>
        <v>900000</v>
      </c>
      <c r="N237" s="107">
        <f t="shared" si="74"/>
        <v>12046000</v>
      </c>
      <c r="O237" s="107">
        <f t="shared" si="74"/>
        <v>17964000</v>
      </c>
      <c r="P237" s="107">
        <f t="shared" si="74"/>
        <v>14988000</v>
      </c>
      <c r="Q237" s="107">
        <f t="shared" si="74"/>
        <v>7080000</v>
      </c>
      <c r="R237" s="107">
        <f t="shared" si="74"/>
        <v>147694000</v>
      </c>
      <c r="S237" s="107">
        <f t="shared" si="74"/>
        <v>298346800</v>
      </c>
      <c r="T237" s="107"/>
      <c r="U237" s="107"/>
      <c r="V237" s="107"/>
      <c r="W237" s="107">
        <f>W234+S236</f>
        <v>3776838600</v>
      </c>
    </row>
    <row r="238" spans="1:24" x14ac:dyDescent="0.2">
      <c r="H238" s="107"/>
      <c r="W238" s="107"/>
      <c r="X238" s="107"/>
    </row>
    <row r="239" spans="1:24" x14ac:dyDescent="0.2">
      <c r="A239" s="112" t="s">
        <v>50</v>
      </c>
      <c r="B239" s="107">
        <v>552419</v>
      </c>
      <c r="C239" s="107">
        <v>2851954</v>
      </c>
      <c r="D239" s="107">
        <v>5317370</v>
      </c>
      <c r="E239" s="107">
        <v>6079929</v>
      </c>
      <c r="F239" s="107">
        <v>2296048</v>
      </c>
      <c r="G239" s="107">
        <f>SUM(B239:F239)</f>
        <v>17097720</v>
      </c>
      <c r="H239" s="107"/>
      <c r="I239" s="107">
        <v>4584000</v>
      </c>
      <c r="J239" s="107">
        <v>2817000</v>
      </c>
      <c r="K239" s="107">
        <v>1737000</v>
      </c>
      <c r="L239" s="107">
        <v>1677000</v>
      </c>
      <c r="M239" s="107">
        <v>0</v>
      </c>
      <c r="N239" s="107">
        <v>1064000</v>
      </c>
      <c r="O239" s="107">
        <v>1353000</v>
      </c>
      <c r="P239" s="107">
        <v>786000</v>
      </c>
      <c r="Q239" s="107">
        <v>1616000</v>
      </c>
      <c r="R239" s="107">
        <f>SUM(I239:Q239)</f>
        <v>15634000</v>
      </c>
      <c r="S239" s="107">
        <f>R239+G239</f>
        <v>32731720</v>
      </c>
      <c r="T239" s="107"/>
      <c r="U239" s="107"/>
      <c r="V239" s="107"/>
      <c r="W239" s="107"/>
    </row>
    <row r="240" spans="1:24" x14ac:dyDescent="0.2">
      <c r="A240" s="112" t="s">
        <v>42</v>
      </c>
      <c r="B240" s="107">
        <f t="shared" ref="B240:G240" si="75">B237+B239-B188</f>
        <v>3686819</v>
      </c>
      <c r="C240" s="107">
        <f t="shared" si="75"/>
        <v>35635954</v>
      </c>
      <c r="D240" s="107">
        <f t="shared" si="75"/>
        <v>52105370</v>
      </c>
      <c r="E240" s="107">
        <f t="shared" si="75"/>
        <v>30289929</v>
      </c>
      <c r="F240" s="107">
        <f t="shared" si="75"/>
        <v>28576048</v>
      </c>
      <c r="G240" s="107">
        <f t="shared" si="75"/>
        <v>150294120</v>
      </c>
      <c r="H240" s="107"/>
      <c r="I240" s="107">
        <f t="shared" ref="I240:S240" si="76">I237+I239-I188</f>
        <v>33588000</v>
      </c>
      <c r="J240" s="107">
        <f t="shared" si="76"/>
        <v>21096000</v>
      </c>
      <c r="K240" s="107">
        <f t="shared" si="76"/>
        <v>20049000</v>
      </c>
      <c r="L240" s="107">
        <f t="shared" si="76"/>
        <v>19851000</v>
      </c>
      <c r="M240" s="107">
        <f t="shared" si="76"/>
        <v>900000</v>
      </c>
      <c r="N240" s="107">
        <f t="shared" si="76"/>
        <v>12104000</v>
      </c>
      <c r="O240" s="107">
        <f t="shared" si="76"/>
        <v>18078000</v>
      </c>
      <c r="P240" s="107">
        <f t="shared" si="76"/>
        <v>14412000</v>
      </c>
      <c r="Q240" s="107">
        <f t="shared" si="76"/>
        <v>8048000</v>
      </c>
      <c r="R240" s="107">
        <f t="shared" si="76"/>
        <v>148126000</v>
      </c>
      <c r="S240" s="107">
        <f t="shared" si="76"/>
        <v>298420120</v>
      </c>
      <c r="T240" s="107"/>
      <c r="U240" s="107"/>
      <c r="V240" s="107"/>
      <c r="W240" s="107">
        <f>W237+S239</f>
        <v>3809570320</v>
      </c>
    </row>
    <row r="241" spans="1:24" x14ac:dyDescent="0.2">
      <c r="H241" s="107"/>
      <c r="W241" s="107"/>
      <c r="X241" s="107"/>
    </row>
    <row r="242" spans="1:24" x14ac:dyDescent="0.2">
      <c r="A242" s="112" t="s">
        <v>51</v>
      </c>
      <c r="B242" s="107">
        <v>0</v>
      </c>
      <c r="C242" s="107">
        <v>2532000</v>
      </c>
      <c r="D242" s="107">
        <v>5352000</v>
      </c>
      <c r="E242" s="107">
        <v>3501000</v>
      </c>
      <c r="F242" s="107">
        <v>2958000</v>
      </c>
      <c r="G242" s="107">
        <f>SUM(B242:F242)</f>
        <v>14343000</v>
      </c>
      <c r="H242" s="107"/>
      <c r="I242" s="107">
        <v>852000</v>
      </c>
      <c r="J242" s="107">
        <v>0</v>
      </c>
      <c r="K242" s="107">
        <v>1434000</v>
      </c>
      <c r="L242" s="107">
        <v>1476000</v>
      </c>
      <c r="M242" s="107">
        <v>0</v>
      </c>
      <c r="N242" s="107">
        <v>1038000</v>
      </c>
      <c r="O242" s="107">
        <v>1431000</v>
      </c>
      <c r="P242" s="107">
        <v>186000</v>
      </c>
      <c r="Q242" s="107">
        <v>0</v>
      </c>
      <c r="R242" s="107">
        <f>SUM(I242:Q242)</f>
        <v>6417000</v>
      </c>
      <c r="S242" s="107">
        <f>R242+G242</f>
        <v>20760000</v>
      </c>
      <c r="T242" s="107"/>
      <c r="U242" s="107"/>
      <c r="V242" s="107"/>
      <c r="W242" s="107"/>
    </row>
    <row r="243" spans="1:24" x14ac:dyDescent="0.2">
      <c r="A243" s="112" t="s">
        <v>42</v>
      </c>
      <c r="B243" s="107">
        <f t="shared" ref="B243:G243" si="77">B240+B242-B191</f>
        <v>3202019</v>
      </c>
      <c r="C243" s="107">
        <f t="shared" si="77"/>
        <v>36193954</v>
      </c>
      <c r="D243" s="107">
        <f t="shared" si="77"/>
        <v>53017370</v>
      </c>
      <c r="E243" s="107">
        <f t="shared" si="77"/>
        <v>27229929</v>
      </c>
      <c r="F243" s="107">
        <f t="shared" si="77"/>
        <v>28468048</v>
      </c>
      <c r="G243" s="107">
        <f t="shared" si="77"/>
        <v>148111320</v>
      </c>
      <c r="H243" s="107"/>
      <c r="I243" s="107">
        <f t="shared" ref="I243:S243" si="78">I240+I242-I191</f>
        <v>31488000</v>
      </c>
      <c r="J243" s="107">
        <f t="shared" si="78"/>
        <v>19017000</v>
      </c>
      <c r="K243" s="107">
        <f t="shared" si="78"/>
        <v>19731000</v>
      </c>
      <c r="L243" s="107">
        <f t="shared" si="78"/>
        <v>19431000</v>
      </c>
      <c r="M243" s="107">
        <f t="shared" si="78"/>
        <v>900000</v>
      </c>
      <c r="N243" s="107">
        <f t="shared" si="78"/>
        <v>12100000</v>
      </c>
      <c r="O243" s="107">
        <f t="shared" si="78"/>
        <v>17874000</v>
      </c>
      <c r="P243" s="107">
        <f t="shared" si="78"/>
        <v>11646000</v>
      </c>
      <c r="Q243" s="107">
        <f t="shared" si="78"/>
        <v>8048000</v>
      </c>
      <c r="R243" s="107">
        <f t="shared" si="78"/>
        <v>140235000</v>
      </c>
      <c r="S243" s="107">
        <f t="shared" si="78"/>
        <v>288346320</v>
      </c>
      <c r="T243" s="107"/>
      <c r="U243" s="107"/>
      <c r="V243" s="107"/>
      <c r="W243" s="107">
        <f>W240+S242</f>
        <v>3830330320</v>
      </c>
    </row>
    <row r="244" spans="1:24" x14ac:dyDescent="0.2">
      <c r="H244" s="107"/>
      <c r="W244" s="107"/>
    </row>
    <row r="245" spans="1:24" x14ac:dyDescent="0.2">
      <c r="A245" s="112" t="s">
        <v>52</v>
      </c>
      <c r="B245" s="107">
        <v>0</v>
      </c>
      <c r="C245" s="107">
        <v>2466000</v>
      </c>
      <c r="D245" s="107">
        <v>4512000</v>
      </c>
      <c r="E245" s="107">
        <v>3096000</v>
      </c>
      <c r="F245" s="107">
        <v>2976000</v>
      </c>
      <c r="G245" s="107">
        <f>SUM(B245:F245)</f>
        <v>13050000</v>
      </c>
      <c r="H245" s="107"/>
      <c r="I245" s="107">
        <v>0</v>
      </c>
      <c r="J245" s="107">
        <v>0</v>
      </c>
      <c r="K245" s="107">
        <v>1659000</v>
      </c>
      <c r="L245" s="107">
        <v>1614000</v>
      </c>
      <c r="M245" s="107">
        <v>0</v>
      </c>
      <c r="N245" s="107">
        <v>914000</v>
      </c>
      <c r="O245" s="107">
        <v>1494000</v>
      </c>
      <c r="P245" s="107">
        <v>588000</v>
      </c>
      <c r="Q245" s="107">
        <v>0</v>
      </c>
      <c r="R245" s="107">
        <f>SUM(I245:Q245)</f>
        <v>6269000</v>
      </c>
      <c r="S245" s="107">
        <f>R245+G245</f>
        <v>19319000</v>
      </c>
      <c r="T245" s="107"/>
      <c r="U245" s="107"/>
      <c r="V245" s="107"/>
      <c r="W245" s="107"/>
    </row>
    <row r="246" spans="1:24" x14ac:dyDescent="0.2">
      <c r="A246" s="112" t="s">
        <v>42</v>
      </c>
      <c r="B246" s="107">
        <f t="shared" ref="B246:G246" si="79">B243+B245-B194</f>
        <v>3202019</v>
      </c>
      <c r="C246" s="107">
        <f t="shared" si="79"/>
        <v>36085954</v>
      </c>
      <c r="D246" s="107">
        <f t="shared" si="79"/>
        <v>53041370</v>
      </c>
      <c r="E246" s="107">
        <f t="shared" si="79"/>
        <v>28579929</v>
      </c>
      <c r="F246" s="107">
        <f t="shared" si="79"/>
        <v>29944048</v>
      </c>
      <c r="G246" s="107">
        <f t="shared" si="79"/>
        <v>150853320</v>
      </c>
      <c r="H246" s="107"/>
      <c r="I246" s="107">
        <f t="shared" ref="I246:S246" si="80">I243+I245-I194</f>
        <v>28944000</v>
      </c>
      <c r="J246" s="107">
        <f t="shared" si="80"/>
        <v>18225000</v>
      </c>
      <c r="K246" s="107">
        <f t="shared" si="80"/>
        <v>20205000</v>
      </c>
      <c r="L246" s="107">
        <f t="shared" si="80"/>
        <v>19776000</v>
      </c>
      <c r="M246" s="107">
        <f t="shared" si="80"/>
        <v>900000</v>
      </c>
      <c r="N246" s="107">
        <f t="shared" si="80"/>
        <v>11966000</v>
      </c>
      <c r="O246" s="107">
        <f t="shared" si="80"/>
        <v>17730000</v>
      </c>
      <c r="P246" s="107">
        <f t="shared" si="80"/>
        <v>10488000</v>
      </c>
      <c r="Q246" s="107">
        <f t="shared" si="80"/>
        <v>7516000</v>
      </c>
      <c r="R246" s="107">
        <f t="shared" si="80"/>
        <v>135750000</v>
      </c>
      <c r="S246" s="107">
        <f t="shared" si="80"/>
        <v>286603320</v>
      </c>
      <c r="T246" s="107"/>
      <c r="U246" s="107"/>
      <c r="V246" s="107"/>
      <c r="W246" s="107">
        <f>W243+S245</f>
        <v>3849649320</v>
      </c>
    </row>
    <row r="247" spans="1:24" x14ac:dyDescent="0.2">
      <c r="H247" s="107"/>
      <c r="W247" s="107"/>
    </row>
    <row r="248" spans="1:24" x14ac:dyDescent="0.2">
      <c r="A248" s="112" t="s">
        <v>53</v>
      </c>
      <c r="B248" s="107">
        <v>0</v>
      </c>
      <c r="C248" s="107">
        <v>2796000</v>
      </c>
      <c r="D248" s="107">
        <v>3792000</v>
      </c>
      <c r="E248" s="107">
        <v>1224000</v>
      </c>
      <c r="F248" s="107">
        <v>3066000</v>
      </c>
      <c r="G248" s="107">
        <f>SUM(B248:F248)</f>
        <v>10878000</v>
      </c>
      <c r="H248" s="107"/>
      <c r="I248" s="107">
        <v>816000</v>
      </c>
      <c r="J248" s="107">
        <v>0</v>
      </c>
      <c r="K248" s="107">
        <v>1959000</v>
      </c>
      <c r="L248" s="107">
        <v>1839000</v>
      </c>
      <c r="M248" s="107">
        <v>0</v>
      </c>
      <c r="N248" s="107">
        <v>742000</v>
      </c>
      <c r="O248" s="107">
        <v>1560000</v>
      </c>
      <c r="P248" s="107">
        <v>0</v>
      </c>
      <c r="Q248" s="107">
        <v>0</v>
      </c>
      <c r="R248" s="107">
        <f>SUM(I248:Q248)</f>
        <v>6916000</v>
      </c>
      <c r="S248" s="107">
        <f>R248+G248</f>
        <v>17794000</v>
      </c>
      <c r="T248" s="107"/>
      <c r="U248" s="107"/>
      <c r="V248" s="107"/>
      <c r="W248" s="107"/>
    </row>
    <row r="249" spans="1:24" x14ac:dyDescent="0.2">
      <c r="A249" s="112" t="s">
        <v>42</v>
      </c>
      <c r="B249" s="107">
        <f t="shared" ref="B249:G249" si="81">B246+B248-B197</f>
        <v>3202019</v>
      </c>
      <c r="C249" s="107">
        <f t="shared" si="81"/>
        <v>36559954</v>
      </c>
      <c r="D249" s="107">
        <f t="shared" si="81"/>
        <v>52969370</v>
      </c>
      <c r="E249" s="107">
        <f t="shared" si="81"/>
        <v>26635929</v>
      </c>
      <c r="F249" s="107">
        <f t="shared" si="81"/>
        <v>30700048</v>
      </c>
      <c r="G249" s="107">
        <f t="shared" si="81"/>
        <v>150067320</v>
      </c>
      <c r="H249" s="107"/>
      <c r="I249" s="107">
        <f t="shared" ref="I249:S249" si="82">I246+I248-I197</f>
        <v>28536000</v>
      </c>
      <c r="J249" s="107">
        <f t="shared" si="82"/>
        <v>17577000</v>
      </c>
      <c r="K249" s="107">
        <f t="shared" si="82"/>
        <v>20640000</v>
      </c>
      <c r="L249" s="107">
        <f t="shared" si="82"/>
        <v>20085000</v>
      </c>
      <c r="M249" s="107">
        <f t="shared" si="82"/>
        <v>621000</v>
      </c>
      <c r="N249" s="107">
        <f t="shared" si="82"/>
        <v>11784000</v>
      </c>
      <c r="O249" s="107">
        <f t="shared" si="82"/>
        <v>18174000</v>
      </c>
      <c r="P249" s="107">
        <f t="shared" si="82"/>
        <v>7980000</v>
      </c>
      <c r="Q249" s="107">
        <f t="shared" si="82"/>
        <v>5480000</v>
      </c>
      <c r="R249" s="107">
        <f t="shared" si="82"/>
        <v>130877000</v>
      </c>
      <c r="S249" s="107">
        <f t="shared" si="82"/>
        <v>280944320</v>
      </c>
      <c r="T249" s="107"/>
      <c r="U249" s="107"/>
      <c r="V249" s="107"/>
      <c r="W249" s="107">
        <f>W246+S248</f>
        <v>3867443320</v>
      </c>
    </row>
    <row r="250" spans="1:24" x14ac:dyDescent="0.2">
      <c r="H250" s="107"/>
      <c r="W250" s="107"/>
    </row>
    <row r="251" spans="1:24" x14ac:dyDescent="0.2">
      <c r="H251" s="107"/>
      <c r="L251" s="109"/>
      <c r="M251" s="110"/>
      <c r="W251" s="107"/>
    </row>
    <row r="252" spans="1:24" x14ac:dyDescent="0.2">
      <c r="H252" s="107"/>
      <c r="W252" s="107"/>
    </row>
    <row r="253" spans="1:24" x14ac:dyDescent="0.2">
      <c r="H253" s="107"/>
      <c r="W253" s="107"/>
    </row>
    <row r="254" spans="1:24" x14ac:dyDescent="0.2">
      <c r="H254" s="107"/>
      <c r="W254" s="107"/>
    </row>
    <row r="255" spans="1:24" x14ac:dyDescent="0.2">
      <c r="H255" s="107"/>
      <c r="W255" s="107"/>
    </row>
    <row r="256" spans="1:24" x14ac:dyDescent="0.2">
      <c r="H256" s="107"/>
      <c r="W256" s="107"/>
    </row>
    <row r="257" spans="1:24" x14ac:dyDescent="0.2">
      <c r="H257" s="107"/>
      <c r="W257" s="107"/>
    </row>
    <row r="258" spans="1:24" x14ac:dyDescent="0.2">
      <c r="H258" s="107"/>
      <c r="W258" s="107"/>
    </row>
    <row r="259" spans="1:24" x14ac:dyDescent="0.2">
      <c r="B259" s="107"/>
      <c r="C259" s="107"/>
      <c r="D259" s="107"/>
      <c r="E259" s="107"/>
      <c r="F259" s="107"/>
      <c r="G259" s="107"/>
      <c r="H259" s="107"/>
      <c r="I259" s="107"/>
      <c r="J259" s="107"/>
      <c r="K259" s="107"/>
      <c r="L259" s="107"/>
      <c r="M259" s="107"/>
      <c r="N259" s="107"/>
      <c r="O259" s="107"/>
      <c r="P259" s="107"/>
      <c r="Q259" s="107"/>
      <c r="R259" s="107"/>
      <c r="S259" s="107"/>
      <c r="T259" s="107"/>
      <c r="U259" s="107"/>
      <c r="V259" s="107"/>
      <c r="W259" s="107"/>
      <c r="X259" s="107"/>
    </row>
    <row r="260" spans="1:24" x14ac:dyDescent="0.2">
      <c r="B260" s="107"/>
      <c r="C260" s="107"/>
      <c r="D260" s="107"/>
      <c r="E260" s="107"/>
      <c r="F260" s="107"/>
      <c r="G260" s="107"/>
      <c r="H260" s="107"/>
      <c r="I260" s="107"/>
      <c r="J260" s="107"/>
      <c r="R260" s="107"/>
      <c r="S260" s="107"/>
      <c r="T260" s="107"/>
      <c r="U260" s="107"/>
      <c r="V260" s="107"/>
      <c r="W260" s="107"/>
    </row>
    <row r="261" spans="1:24" x14ac:dyDescent="0.2">
      <c r="D261" s="108" t="s">
        <v>101</v>
      </c>
      <c r="H261" s="107"/>
      <c r="L261" s="109">
        <f ca="1">NOW()</f>
        <v>42312.648458217591</v>
      </c>
      <c r="M261" s="110">
        <f ca="1">NOW()</f>
        <v>42312.648458217591</v>
      </c>
      <c r="O261" s="108" t="s">
        <v>100</v>
      </c>
      <c r="W261" s="107"/>
    </row>
    <row r="262" spans="1:24" x14ac:dyDescent="0.2">
      <c r="D262" s="108" t="s">
        <v>2</v>
      </c>
      <c r="F262" s="108" t="s">
        <v>2</v>
      </c>
      <c r="H262" s="107"/>
      <c r="I262" s="108" t="s">
        <v>3</v>
      </c>
      <c r="J262" s="108" t="s">
        <v>4</v>
      </c>
      <c r="W262" s="107"/>
      <c r="X262" s="107"/>
    </row>
    <row r="263" spans="1:24" x14ac:dyDescent="0.2">
      <c r="F263" s="108" t="s">
        <v>93</v>
      </c>
      <c r="H263" s="107"/>
      <c r="W263" s="107"/>
    </row>
    <row r="264" spans="1:24" x14ac:dyDescent="0.2">
      <c r="H264" s="107"/>
      <c r="X264" s="111" t="s">
        <v>7</v>
      </c>
    </row>
    <row r="265" spans="1:24" x14ac:dyDescent="0.2">
      <c r="B265" s="108" t="s">
        <v>94</v>
      </c>
      <c r="H265" s="107"/>
      <c r="I265" s="108" t="s">
        <v>95</v>
      </c>
      <c r="X265" s="111" t="s">
        <v>10</v>
      </c>
    </row>
    <row r="266" spans="1:24" x14ac:dyDescent="0.2">
      <c r="B266" s="112" t="s">
        <v>11</v>
      </c>
      <c r="C266" s="112" t="s">
        <v>12</v>
      </c>
      <c r="D266" s="112" t="s">
        <v>13</v>
      </c>
      <c r="E266" s="112" t="s">
        <v>14</v>
      </c>
      <c r="F266" s="112" t="s">
        <v>15</v>
      </c>
      <c r="G266" s="112" t="s">
        <v>16</v>
      </c>
      <c r="H266" s="107"/>
      <c r="I266" s="112" t="s">
        <v>17</v>
      </c>
      <c r="N266" s="112" t="s">
        <v>18</v>
      </c>
      <c r="O266" s="112" t="s">
        <v>19</v>
      </c>
      <c r="P266" s="112" t="s">
        <v>20</v>
      </c>
      <c r="Q266" s="112" t="s">
        <v>21</v>
      </c>
      <c r="R266" s="112" t="s">
        <v>16</v>
      </c>
      <c r="S266" s="112" t="s">
        <v>102</v>
      </c>
      <c r="T266" s="112"/>
      <c r="U266" s="112"/>
      <c r="V266" s="112"/>
      <c r="W266" s="112" t="s">
        <v>7</v>
      </c>
      <c r="X266" s="111" t="s">
        <v>22</v>
      </c>
    </row>
    <row r="267" spans="1:24" x14ac:dyDescent="0.2">
      <c r="B267" s="112" t="s">
        <v>23</v>
      </c>
      <c r="C267" s="112" t="s">
        <v>24</v>
      </c>
      <c r="D267" s="112" t="s">
        <v>25</v>
      </c>
      <c r="E267" s="112" t="s">
        <v>26</v>
      </c>
      <c r="F267" s="112" t="s">
        <v>27</v>
      </c>
      <c r="G267" s="112" t="s">
        <v>28</v>
      </c>
      <c r="H267" s="107"/>
      <c r="I267" s="112" t="s">
        <v>29</v>
      </c>
      <c r="J267" s="112" t="s">
        <v>30</v>
      </c>
      <c r="K267" s="112" t="s">
        <v>31</v>
      </c>
      <c r="L267" s="112" t="s">
        <v>32</v>
      </c>
      <c r="M267" s="112" t="s">
        <v>33</v>
      </c>
      <c r="N267" s="112" t="s">
        <v>34</v>
      </c>
      <c r="O267" s="112" t="s">
        <v>35</v>
      </c>
      <c r="P267" s="112" t="s">
        <v>36</v>
      </c>
      <c r="Q267" s="112" t="s">
        <v>37</v>
      </c>
      <c r="R267" s="112" t="s">
        <v>28</v>
      </c>
      <c r="S267" s="112" t="s">
        <v>103</v>
      </c>
      <c r="T267" s="112"/>
      <c r="U267" s="112"/>
      <c r="V267" s="112"/>
      <c r="W267" s="112" t="s">
        <v>10</v>
      </c>
      <c r="X267" s="111" t="s">
        <v>38</v>
      </c>
    </row>
    <row r="268" spans="1:24" x14ac:dyDescent="0.2">
      <c r="B268" s="112" t="s">
        <v>39</v>
      </c>
      <c r="C268" s="112" t="s">
        <v>40</v>
      </c>
      <c r="D268" s="112" t="s">
        <v>40</v>
      </c>
      <c r="E268" s="112" t="s">
        <v>40</v>
      </c>
      <c r="F268" s="112" t="s">
        <v>40</v>
      </c>
      <c r="G268" s="112" t="s">
        <v>40</v>
      </c>
      <c r="H268" s="107"/>
      <c r="I268" s="112" t="s">
        <v>40</v>
      </c>
      <c r="J268" s="112" t="s">
        <v>40</v>
      </c>
      <c r="K268" s="112" t="s">
        <v>40</v>
      </c>
      <c r="L268" s="112" t="s">
        <v>40</v>
      </c>
      <c r="M268" s="112" t="s">
        <v>40</v>
      </c>
      <c r="N268" s="112" t="s">
        <v>40</v>
      </c>
      <c r="O268" s="112" t="s">
        <v>40</v>
      </c>
      <c r="P268" s="112" t="s">
        <v>40</v>
      </c>
      <c r="Q268" s="112" t="s">
        <v>40</v>
      </c>
      <c r="R268" s="112" t="s">
        <v>40</v>
      </c>
      <c r="S268" s="112" t="s">
        <v>40</v>
      </c>
      <c r="T268" s="112"/>
      <c r="U268" s="112"/>
      <c r="V268" s="112"/>
      <c r="W268" s="112" t="s">
        <v>40</v>
      </c>
      <c r="X268" s="111" t="s">
        <v>40</v>
      </c>
    </row>
    <row r="269" spans="1:24" x14ac:dyDescent="0.2">
      <c r="A269" s="112" t="s">
        <v>41</v>
      </c>
      <c r="B269" s="107">
        <v>0</v>
      </c>
      <c r="C269" s="107">
        <v>2376000</v>
      </c>
      <c r="D269" s="107">
        <v>3240000</v>
      </c>
      <c r="E269" s="107">
        <v>261000</v>
      </c>
      <c r="F269" s="107">
        <v>2994000</v>
      </c>
      <c r="G269" s="107">
        <f>SUM(B269:F269)</f>
        <v>8871000</v>
      </c>
      <c r="H269" s="107"/>
      <c r="I269" s="107">
        <v>252000</v>
      </c>
      <c r="J269" s="107">
        <v>0</v>
      </c>
      <c r="K269" s="107">
        <v>1530000</v>
      </c>
      <c r="L269" s="107">
        <v>1470000</v>
      </c>
      <c r="M269" s="107">
        <v>0</v>
      </c>
      <c r="N269" s="107">
        <v>738000</v>
      </c>
      <c r="O269" s="107">
        <v>1374000</v>
      </c>
      <c r="P269" s="107">
        <v>120000</v>
      </c>
      <c r="Q269" s="107">
        <v>1032000</v>
      </c>
      <c r="R269" s="107">
        <f>SUM(I269:Q269)</f>
        <v>6516000</v>
      </c>
      <c r="S269" s="113">
        <v>0</v>
      </c>
      <c r="T269" s="113"/>
      <c r="U269" s="113"/>
      <c r="V269" s="113"/>
      <c r="W269" s="107">
        <f>R269+G269</f>
        <v>15387000</v>
      </c>
      <c r="X269" s="107"/>
    </row>
    <row r="270" spans="1:24" x14ac:dyDescent="0.2">
      <c r="A270" s="112" t="s">
        <v>42</v>
      </c>
      <c r="B270" s="107">
        <f t="shared" ref="B270:G270" si="83">B249+B269-B215</f>
        <v>3202019</v>
      </c>
      <c r="C270" s="107">
        <f t="shared" si="83"/>
        <v>36103954</v>
      </c>
      <c r="D270" s="107">
        <f t="shared" si="83"/>
        <v>52105370</v>
      </c>
      <c r="E270" s="107">
        <f t="shared" si="83"/>
        <v>25834929</v>
      </c>
      <c r="F270" s="107">
        <f t="shared" si="83"/>
        <v>32176048</v>
      </c>
      <c r="G270" s="107">
        <f t="shared" si="83"/>
        <v>149422320</v>
      </c>
      <c r="H270" s="107"/>
      <c r="I270" s="107">
        <f t="shared" ref="I270:R270" si="84">I249+I269-I215</f>
        <v>28788000</v>
      </c>
      <c r="J270" s="107">
        <f t="shared" si="84"/>
        <v>17577000</v>
      </c>
      <c r="K270" s="107">
        <f t="shared" si="84"/>
        <v>20379000</v>
      </c>
      <c r="L270" s="107">
        <f t="shared" si="84"/>
        <v>19746000</v>
      </c>
      <c r="M270" s="107">
        <f t="shared" si="84"/>
        <v>621000</v>
      </c>
      <c r="N270" s="107">
        <f t="shared" si="84"/>
        <v>11684000</v>
      </c>
      <c r="O270" s="107">
        <f t="shared" si="84"/>
        <v>17868000</v>
      </c>
      <c r="P270" s="107">
        <f t="shared" si="84"/>
        <v>7278000</v>
      </c>
      <c r="Q270" s="107">
        <f t="shared" si="84"/>
        <v>6028000</v>
      </c>
      <c r="R270" s="107">
        <f t="shared" si="84"/>
        <v>129969000</v>
      </c>
      <c r="S270" s="113">
        <v>0</v>
      </c>
      <c r="T270" s="113"/>
      <c r="U270" s="113"/>
      <c r="V270" s="113"/>
      <c r="W270" s="107">
        <f>S249+W269-S215</f>
        <v>279391320</v>
      </c>
      <c r="X270" s="107">
        <f>W249+W269</f>
        <v>3882830320</v>
      </c>
    </row>
    <row r="271" spans="1:24" x14ac:dyDescent="0.2">
      <c r="H271" s="107"/>
      <c r="S271" s="107"/>
      <c r="T271" s="107"/>
      <c r="U271" s="107"/>
      <c r="V271" s="107"/>
      <c r="X271" s="107"/>
    </row>
    <row r="272" spans="1:24" x14ac:dyDescent="0.2">
      <c r="A272" s="112" t="s">
        <v>43</v>
      </c>
      <c r="B272" s="107">
        <v>129600</v>
      </c>
      <c r="C272" s="107">
        <v>2250000</v>
      </c>
      <c r="D272" s="107">
        <v>2376000</v>
      </c>
      <c r="E272" s="107">
        <v>0</v>
      </c>
      <c r="F272" s="107">
        <v>2226000</v>
      </c>
      <c r="G272" s="107">
        <f>SUM(B272:F272)</f>
        <v>6981600</v>
      </c>
      <c r="H272" s="107"/>
      <c r="I272" s="107">
        <v>168000</v>
      </c>
      <c r="J272" s="107">
        <v>0</v>
      </c>
      <c r="K272" s="107">
        <v>1602000</v>
      </c>
      <c r="L272" s="107">
        <v>1578000</v>
      </c>
      <c r="M272" s="107">
        <v>0</v>
      </c>
      <c r="N272" s="107">
        <v>200000</v>
      </c>
      <c r="O272" s="107">
        <v>1323000</v>
      </c>
      <c r="P272" s="107">
        <v>0</v>
      </c>
      <c r="Q272" s="107">
        <v>0</v>
      </c>
      <c r="R272" s="107">
        <f>SUM(I272:Q272)</f>
        <v>4871000</v>
      </c>
      <c r="S272" s="113">
        <v>0</v>
      </c>
      <c r="T272" s="113"/>
      <c r="U272" s="113"/>
      <c r="V272" s="113"/>
      <c r="W272" s="107">
        <f>R272+G272</f>
        <v>11852600</v>
      </c>
      <c r="X272" s="107"/>
    </row>
    <row r="273" spans="1:24" x14ac:dyDescent="0.2">
      <c r="A273" s="112" t="s">
        <v>42</v>
      </c>
      <c r="B273" s="107">
        <f t="shared" ref="B273:G273" si="85">B270+B272-B218</f>
        <v>3331619</v>
      </c>
      <c r="C273" s="107">
        <f t="shared" si="85"/>
        <v>35221954</v>
      </c>
      <c r="D273" s="107">
        <f t="shared" si="85"/>
        <v>49717370</v>
      </c>
      <c r="E273" s="107">
        <f t="shared" si="85"/>
        <v>25834929</v>
      </c>
      <c r="F273" s="107">
        <f t="shared" si="85"/>
        <v>32704048</v>
      </c>
      <c r="G273" s="107">
        <f t="shared" si="85"/>
        <v>146809920</v>
      </c>
      <c r="H273" s="107"/>
      <c r="I273" s="107">
        <f t="shared" ref="I273:R273" si="86">I270+I272-I218</f>
        <v>28956000</v>
      </c>
      <c r="J273" s="107">
        <f t="shared" si="86"/>
        <v>17577000</v>
      </c>
      <c r="K273" s="107">
        <f t="shared" si="86"/>
        <v>20199000</v>
      </c>
      <c r="L273" s="107">
        <f t="shared" si="86"/>
        <v>19626000</v>
      </c>
      <c r="M273" s="107">
        <f t="shared" si="86"/>
        <v>621000</v>
      </c>
      <c r="N273" s="107">
        <f t="shared" si="86"/>
        <v>11034000</v>
      </c>
      <c r="O273" s="107">
        <f t="shared" si="86"/>
        <v>17634000</v>
      </c>
      <c r="P273" s="107">
        <f t="shared" si="86"/>
        <v>7278000</v>
      </c>
      <c r="Q273" s="107">
        <f t="shared" si="86"/>
        <v>5900000</v>
      </c>
      <c r="R273" s="107">
        <f t="shared" si="86"/>
        <v>128825000</v>
      </c>
      <c r="S273" s="113">
        <v>0</v>
      </c>
      <c r="T273" s="113"/>
      <c r="U273" s="113"/>
      <c r="V273" s="113"/>
      <c r="W273" s="107">
        <f>W270+W272-S218</f>
        <v>275634920</v>
      </c>
      <c r="X273" s="107">
        <f>X270+W272</f>
        <v>3894682920</v>
      </c>
    </row>
    <row r="274" spans="1:24" x14ac:dyDescent="0.2">
      <c r="B274" s="107"/>
      <c r="C274" s="107"/>
      <c r="D274" s="107"/>
      <c r="E274" s="107"/>
      <c r="F274" s="107"/>
      <c r="G274" s="107"/>
      <c r="H274" s="107"/>
      <c r="I274" s="107"/>
      <c r="J274" s="107"/>
      <c r="K274" s="107"/>
      <c r="L274" s="107"/>
      <c r="M274" s="107"/>
      <c r="N274" s="107"/>
      <c r="O274" s="107"/>
      <c r="P274" s="107"/>
      <c r="Q274" s="107"/>
      <c r="R274" s="107"/>
      <c r="S274" s="107"/>
      <c r="T274" s="107"/>
      <c r="U274" s="107"/>
      <c r="V274" s="107"/>
      <c r="W274" s="107"/>
      <c r="X274" s="107"/>
    </row>
    <row r="275" spans="1:24" x14ac:dyDescent="0.2">
      <c r="A275" s="112" t="s">
        <v>44</v>
      </c>
      <c r="B275" s="107">
        <v>393600</v>
      </c>
      <c r="C275" s="107">
        <v>2064000</v>
      </c>
      <c r="D275" s="107">
        <v>2568000</v>
      </c>
      <c r="E275" s="107">
        <v>162000</v>
      </c>
      <c r="F275" s="107">
        <v>2478000</v>
      </c>
      <c r="G275" s="107">
        <f>SUM(B275:F275)</f>
        <v>7665600</v>
      </c>
      <c r="H275" s="107"/>
      <c r="I275" s="107">
        <v>1884000</v>
      </c>
      <c r="J275" s="107">
        <v>459000</v>
      </c>
      <c r="K275" s="107">
        <v>870000</v>
      </c>
      <c r="L275" s="107">
        <v>1170000</v>
      </c>
      <c r="M275" s="107">
        <v>0</v>
      </c>
      <c r="N275" s="107">
        <v>914000</v>
      </c>
      <c r="O275" s="107">
        <v>1383000</v>
      </c>
      <c r="P275" s="107">
        <v>306000</v>
      </c>
      <c r="Q275" s="107">
        <v>1128000</v>
      </c>
      <c r="R275" s="107">
        <f>SUM(I275:Q275)</f>
        <v>8114000</v>
      </c>
      <c r="S275" s="113">
        <v>0</v>
      </c>
      <c r="T275" s="113"/>
      <c r="U275" s="113"/>
      <c r="V275" s="113"/>
      <c r="W275" s="107">
        <f>R275+G275</f>
        <v>15779600</v>
      </c>
      <c r="X275" s="107"/>
    </row>
    <row r="276" spans="1:24" x14ac:dyDescent="0.2">
      <c r="A276" s="112" t="s">
        <v>42</v>
      </c>
      <c r="B276" s="107">
        <f t="shared" ref="B276:G276" si="87">B273+B275-B221</f>
        <v>3725219</v>
      </c>
      <c r="C276" s="107">
        <f t="shared" si="87"/>
        <v>33739954</v>
      </c>
      <c r="D276" s="107">
        <f t="shared" si="87"/>
        <v>51901370</v>
      </c>
      <c r="E276" s="107">
        <f t="shared" si="87"/>
        <v>25996929</v>
      </c>
      <c r="F276" s="107">
        <f t="shared" si="87"/>
        <v>32380048</v>
      </c>
      <c r="G276" s="107">
        <f t="shared" si="87"/>
        <v>147743520</v>
      </c>
      <c r="H276" s="107"/>
      <c r="I276" s="107">
        <f t="shared" ref="I276:R276" si="88">I273+I275-I221</f>
        <v>30840000</v>
      </c>
      <c r="J276" s="107">
        <f t="shared" si="88"/>
        <v>18036000</v>
      </c>
      <c r="K276" s="107">
        <f t="shared" si="88"/>
        <v>19116000</v>
      </c>
      <c r="L276" s="107">
        <f t="shared" si="88"/>
        <v>18999000</v>
      </c>
      <c r="M276" s="107">
        <f t="shared" si="88"/>
        <v>621000</v>
      </c>
      <c r="N276" s="107">
        <f t="shared" si="88"/>
        <v>10898000</v>
      </c>
      <c r="O276" s="107">
        <f t="shared" si="88"/>
        <v>17367000</v>
      </c>
      <c r="P276" s="107">
        <f t="shared" si="88"/>
        <v>7584000</v>
      </c>
      <c r="Q276" s="107">
        <f t="shared" si="88"/>
        <v>7028000</v>
      </c>
      <c r="R276" s="107">
        <f t="shared" si="88"/>
        <v>130489000</v>
      </c>
      <c r="S276" s="113">
        <v>0</v>
      </c>
      <c r="T276" s="113"/>
      <c r="U276" s="113"/>
      <c r="V276" s="113"/>
      <c r="W276" s="107">
        <f>W273+W275-S221</f>
        <v>278232520</v>
      </c>
      <c r="X276" s="107">
        <f>X273+W275</f>
        <v>3910462520</v>
      </c>
    </row>
    <row r="277" spans="1:24" x14ac:dyDescent="0.2">
      <c r="H277" s="107"/>
      <c r="S277" s="107"/>
      <c r="T277" s="107"/>
      <c r="U277" s="107"/>
      <c r="V277" s="107"/>
      <c r="X277" s="107"/>
    </row>
    <row r="278" spans="1:24" x14ac:dyDescent="0.2">
      <c r="A278" s="112" t="s">
        <v>45</v>
      </c>
      <c r="B278" s="107">
        <v>0</v>
      </c>
      <c r="C278" s="107">
        <v>2856000</v>
      </c>
      <c r="D278" s="107">
        <v>2268000</v>
      </c>
      <c r="E278" s="107">
        <v>4644000</v>
      </c>
      <c r="F278" s="107">
        <v>1092000</v>
      </c>
      <c r="G278" s="107">
        <f>SUM(B278:F278)</f>
        <v>10860000</v>
      </c>
      <c r="H278" s="107"/>
      <c r="I278" s="107">
        <v>396000</v>
      </c>
      <c r="J278" s="107">
        <v>0</v>
      </c>
      <c r="K278" s="107">
        <v>1578000</v>
      </c>
      <c r="L278" s="107">
        <v>1455000</v>
      </c>
      <c r="M278" s="107">
        <v>900000</v>
      </c>
      <c r="N278" s="107">
        <v>952000</v>
      </c>
      <c r="O278" s="107">
        <v>1440000</v>
      </c>
      <c r="P278" s="107">
        <v>0</v>
      </c>
      <c r="Q278" s="107">
        <v>1952000</v>
      </c>
      <c r="R278" s="107">
        <f>SUM(I278:Q278)</f>
        <v>8673000</v>
      </c>
      <c r="S278" s="113">
        <v>0</v>
      </c>
      <c r="T278" s="113"/>
      <c r="U278" s="113"/>
      <c r="V278" s="113"/>
      <c r="W278" s="107">
        <f>R278+G278</f>
        <v>19533000</v>
      </c>
      <c r="X278" s="107"/>
    </row>
    <row r="279" spans="1:24" x14ac:dyDescent="0.2">
      <c r="A279" s="112" t="s">
        <v>42</v>
      </c>
      <c r="B279" s="107">
        <f t="shared" ref="B279:G279" si="89">B276+B278-B224</f>
        <v>3682019</v>
      </c>
      <c r="C279" s="107">
        <f t="shared" si="89"/>
        <v>33295954</v>
      </c>
      <c r="D279" s="107">
        <f t="shared" si="89"/>
        <v>49969370</v>
      </c>
      <c r="E279" s="107">
        <f t="shared" si="89"/>
        <v>30595929</v>
      </c>
      <c r="F279" s="107">
        <f t="shared" si="89"/>
        <v>30736048</v>
      </c>
      <c r="G279" s="107">
        <f t="shared" si="89"/>
        <v>148279320</v>
      </c>
      <c r="H279" s="107"/>
      <c r="I279" s="107">
        <f t="shared" ref="I279:R279" si="90">I276+I278-I224</f>
        <v>29796000</v>
      </c>
      <c r="J279" s="107">
        <f t="shared" si="90"/>
        <v>17469000</v>
      </c>
      <c r="K279" s="107">
        <f t="shared" si="90"/>
        <v>19176000</v>
      </c>
      <c r="L279" s="107">
        <f t="shared" si="90"/>
        <v>18981000</v>
      </c>
      <c r="M279" s="107">
        <f t="shared" si="90"/>
        <v>900000</v>
      </c>
      <c r="N279" s="107">
        <f t="shared" si="90"/>
        <v>11212000</v>
      </c>
      <c r="O279" s="107">
        <f t="shared" si="90"/>
        <v>17553000</v>
      </c>
      <c r="P279" s="107">
        <f t="shared" si="90"/>
        <v>7500000</v>
      </c>
      <c r="Q279" s="107">
        <f t="shared" si="90"/>
        <v>8980000</v>
      </c>
      <c r="R279" s="107">
        <f t="shared" si="90"/>
        <v>131567000</v>
      </c>
      <c r="S279" s="113">
        <v>0</v>
      </c>
      <c r="T279" s="113"/>
      <c r="U279" s="113"/>
      <c r="V279" s="113"/>
      <c r="W279" s="107">
        <f>W276+W278-S224</f>
        <v>279846320</v>
      </c>
      <c r="X279" s="107">
        <f>X276+W278</f>
        <v>3929995520</v>
      </c>
    </row>
    <row r="280" spans="1:24" x14ac:dyDescent="0.2">
      <c r="H280" s="107"/>
      <c r="S280" s="107"/>
      <c r="T280" s="107"/>
      <c r="U280" s="107"/>
      <c r="V280" s="107"/>
      <c r="X280" s="107"/>
    </row>
    <row r="281" spans="1:24" x14ac:dyDescent="0.2">
      <c r="A281" s="112" t="s">
        <v>46</v>
      </c>
      <c r="B281" s="107">
        <v>0</v>
      </c>
      <c r="C281" s="107">
        <v>3228000</v>
      </c>
      <c r="D281" s="107">
        <v>3648000</v>
      </c>
      <c r="E281" s="107">
        <v>6642000</v>
      </c>
      <c r="F281" s="107">
        <v>2814000</v>
      </c>
      <c r="G281" s="107">
        <f>SUM(B281:F281)</f>
        <v>16332000</v>
      </c>
      <c r="H281" s="107"/>
      <c r="I281" s="107">
        <v>2388000</v>
      </c>
      <c r="J281" s="107">
        <v>108000</v>
      </c>
      <c r="K281" s="107">
        <v>1380000</v>
      </c>
      <c r="L281" s="107">
        <v>1251000</v>
      </c>
      <c r="M281" s="107">
        <v>2925000</v>
      </c>
      <c r="N281" s="107">
        <v>998000</v>
      </c>
      <c r="O281" s="107">
        <v>1656000</v>
      </c>
      <c r="P281" s="107">
        <v>1362000</v>
      </c>
      <c r="Q281" s="107">
        <v>2320000</v>
      </c>
      <c r="R281" s="107">
        <f>SUM(I281:Q281)</f>
        <v>14388000</v>
      </c>
      <c r="S281" s="113">
        <v>0</v>
      </c>
      <c r="T281" s="113"/>
      <c r="U281" s="113"/>
      <c r="V281" s="113"/>
      <c r="W281" s="107">
        <f>R281+G281</f>
        <v>30720000</v>
      </c>
      <c r="X281" s="107"/>
    </row>
    <row r="282" spans="1:24" x14ac:dyDescent="0.2">
      <c r="A282" s="112" t="s">
        <v>42</v>
      </c>
      <c r="B282" s="107">
        <f t="shared" ref="B282:G282" si="91">B279+B281-B227</f>
        <v>2923619</v>
      </c>
      <c r="C282" s="107">
        <f t="shared" si="91"/>
        <v>33007954</v>
      </c>
      <c r="D282" s="107">
        <f t="shared" si="91"/>
        <v>49393370</v>
      </c>
      <c r="E282" s="107">
        <f t="shared" si="91"/>
        <v>33061929</v>
      </c>
      <c r="F282" s="107">
        <f t="shared" si="91"/>
        <v>30790048</v>
      </c>
      <c r="G282" s="107">
        <f t="shared" si="91"/>
        <v>149176920</v>
      </c>
      <c r="H282" s="107"/>
      <c r="I282" s="107">
        <f t="shared" ref="I282:R282" si="92">I279+I281-I227</f>
        <v>26736000</v>
      </c>
      <c r="J282" s="107">
        <f t="shared" si="92"/>
        <v>13842000</v>
      </c>
      <c r="K282" s="107">
        <f t="shared" si="92"/>
        <v>18768000</v>
      </c>
      <c r="L282" s="107">
        <f t="shared" si="92"/>
        <v>18477000</v>
      </c>
      <c r="M282" s="107">
        <f t="shared" si="92"/>
        <v>3825000</v>
      </c>
      <c r="N282" s="107">
        <f t="shared" si="92"/>
        <v>11072000</v>
      </c>
      <c r="O282" s="107">
        <f t="shared" si="92"/>
        <v>17715000</v>
      </c>
      <c r="P282" s="107">
        <f t="shared" si="92"/>
        <v>8862000</v>
      </c>
      <c r="Q282" s="107">
        <f t="shared" si="92"/>
        <v>11300000</v>
      </c>
      <c r="R282" s="107">
        <f t="shared" si="92"/>
        <v>130597000</v>
      </c>
      <c r="S282" s="113">
        <v>0</v>
      </c>
      <c r="T282" s="113"/>
      <c r="U282" s="113"/>
      <c r="V282" s="113"/>
      <c r="W282" s="107">
        <f>W279+W281-S227</f>
        <v>279773920</v>
      </c>
      <c r="X282" s="107">
        <f>X279+W281</f>
        <v>3960715520</v>
      </c>
    </row>
    <row r="283" spans="1:24" x14ac:dyDescent="0.2">
      <c r="H283" s="107"/>
      <c r="S283" s="107"/>
      <c r="T283" s="107"/>
      <c r="U283" s="107"/>
      <c r="V283" s="107"/>
      <c r="X283" s="107"/>
    </row>
    <row r="284" spans="1:24" x14ac:dyDescent="0.2">
      <c r="A284" s="112" t="s">
        <v>47</v>
      </c>
      <c r="B284" s="107">
        <v>537600</v>
      </c>
      <c r="C284" s="107">
        <v>3090461</v>
      </c>
      <c r="D284" s="107">
        <v>4421553</v>
      </c>
      <c r="E284" s="107">
        <v>6412602</v>
      </c>
      <c r="F284" s="107">
        <v>2123700</v>
      </c>
      <c r="G284" s="107">
        <f>SUM(B284:F284)</f>
        <v>16585916</v>
      </c>
      <c r="H284" s="107"/>
      <c r="I284" s="107">
        <v>5184000</v>
      </c>
      <c r="J284" s="107">
        <v>3753000</v>
      </c>
      <c r="K284" s="107">
        <v>1143000</v>
      </c>
      <c r="L284" s="107">
        <v>1032000</v>
      </c>
      <c r="M284" s="107">
        <v>3573000</v>
      </c>
      <c r="N284" s="107">
        <v>972000</v>
      </c>
      <c r="O284" s="107">
        <v>1344000</v>
      </c>
      <c r="P284" s="107">
        <v>2994000</v>
      </c>
      <c r="Q284" s="107">
        <v>2252000</v>
      </c>
      <c r="R284" s="107">
        <f>SUM(I284:Q284)</f>
        <v>22247000</v>
      </c>
      <c r="S284" s="107">
        <f>54*1000</f>
        <v>54000</v>
      </c>
      <c r="T284" s="107"/>
      <c r="U284" s="107"/>
      <c r="V284" s="107"/>
      <c r="W284" s="107">
        <f>R284+G284+S284</f>
        <v>38886916</v>
      </c>
      <c r="X284" s="107"/>
    </row>
    <row r="285" spans="1:24" x14ac:dyDescent="0.2">
      <c r="A285" s="112" t="s">
        <v>42</v>
      </c>
      <c r="B285" s="107">
        <f t="shared" ref="B285:G285" si="93">B282+B284-B230</f>
        <v>3086819</v>
      </c>
      <c r="C285" s="107">
        <f t="shared" si="93"/>
        <v>32714415</v>
      </c>
      <c r="D285" s="107">
        <f t="shared" si="93"/>
        <v>49602923</v>
      </c>
      <c r="E285" s="107">
        <f t="shared" si="93"/>
        <v>37971531</v>
      </c>
      <c r="F285" s="107">
        <f t="shared" si="93"/>
        <v>29991748</v>
      </c>
      <c r="G285" s="107">
        <f t="shared" si="93"/>
        <v>153367436</v>
      </c>
      <c r="H285" s="107"/>
      <c r="I285" s="107">
        <f t="shared" ref="I285:R285" si="94">I282+I284-I230</f>
        <v>26760000</v>
      </c>
      <c r="J285" s="107">
        <f t="shared" si="94"/>
        <v>14112000</v>
      </c>
      <c r="K285" s="107">
        <f t="shared" si="94"/>
        <v>18390000</v>
      </c>
      <c r="L285" s="107">
        <f t="shared" si="94"/>
        <v>17976000</v>
      </c>
      <c r="M285" s="107">
        <f t="shared" si="94"/>
        <v>7398000</v>
      </c>
      <c r="N285" s="107">
        <f t="shared" si="94"/>
        <v>10888000</v>
      </c>
      <c r="O285" s="107">
        <f t="shared" si="94"/>
        <v>17403000</v>
      </c>
      <c r="P285" s="107">
        <f t="shared" si="94"/>
        <v>10494000</v>
      </c>
      <c r="Q285" s="107">
        <f t="shared" si="94"/>
        <v>12792000</v>
      </c>
      <c r="R285" s="107">
        <f t="shared" si="94"/>
        <v>136213000</v>
      </c>
      <c r="S285" s="107">
        <f>S284</f>
        <v>54000</v>
      </c>
      <c r="T285" s="107"/>
      <c r="U285" s="107"/>
      <c r="V285" s="107"/>
      <c r="W285" s="107">
        <f>W282+W284-S230</f>
        <v>289634436</v>
      </c>
      <c r="X285" s="107">
        <f>X282+W284</f>
        <v>3999602436</v>
      </c>
    </row>
    <row r="286" spans="1:24" x14ac:dyDescent="0.2">
      <c r="H286" s="107"/>
      <c r="S286" s="107"/>
      <c r="T286" s="107"/>
      <c r="U286" s="107"/>
      <c r="V286" s="107"/>
      <c r="X286" s="107"/>
    </row>
    <row r="287" spans="1:24" x14ac:dyDescent="0.2">
      <c r="A287" s="112" t="s">
        <v>48</v>
      </c>
      <c r="B287" s="107">
        <v>484800</v>
      </c>
      <c r="C287" s="107">
        <v>3486000</v>
      </c>
      <c r="D287" s="107">
        <v>5256000</v>
      </c>
      <c r="E287" s="107">
        <v>3654000</v>
      </c>
      <c r="F287" s="107">
        <v>2730000</v>
      </c>
      <c r="G287" s="107">
        <f>SUM(B287:F287)</f>
        <v>15610800</v>
      </c>
      <c r="H287" s="107"/>
      <c r="I287" s="107">
        <v>960000</v>
      </c>
      <c r="J287" s="107">
        <v>495000</v>
      </c>
      <c r="K287" s="107">
        <v>1608000</v>
      </c>
      <c r="L287" s="107">
        <v>1611000</v>
      </c>
      <c r="M287" s="107">
        <v>2214000</v>
      </c>
      <c r="N287" s="107">
        <v>866000</v>
      </c>
      <c r="O287" s="107">
        <v>1200000</v>
      </c>
      <c r="P287" s="107">
        <v>3144000</v>
      </c>
      <c r="Q287" s="107">
        <v>24000</v>
      </c>
      <c r="R287" s="107">
        <f>SUM(I287:Q287)</f>
        <v>12122000</v>
      </c>
      <c r="S287" s="107">
        <f>1442*1000</f>
        <v>1442000</v>
      </c>
      <c r="T287" s="107"/>
      <c r="U287" s="107"/>
      <c r="V287" s="107"/>
      <c r="W287" s="107">
        <f>R287+G287+S287</f>
        <v>29174800</v>
      </c>
      <c r="X287" s="107"/>
    </row>
    <row r="288" spans="1:24" x14ac:dyDescent="0.2">
      <c r="A288" s="112" t="s">
        <v>42</v>
      </c>
      <c r="B288" s="107">
        <f t="shared" ref="B288:G288" si="95">B285+B287-B233</f>
        <v>2827619</v>
      </c>
      <c r="C288" s="107">
        <f t="shared" si="95"/>
        <v>33074415</v>
      </c>
      <c r="D288" s="107">
        <f t="shared" si="95"/>
        <v>48654923</v>
      </c>
      <c r="E288" s="107">
        <f t="shared" si="95"/>
        <v>40068531</v>
      </c>
      <c r="F288" s="107">
        <f t="shared" si="95"/>
        <v>29817748</v>
      </c>
      <c r="G288" s="107">
        <f t="shared" si="95"/>
        <v>154443236</v>
      </c>
      <c r="H288" s="107"/>
      <c r="I288" s="107">
        <f t="shared" ref="I288:R288" si="96">I285+I287-I233</f>
        <v>23196000</v>
      </c>
      <c r="J288" s="107">
        <f t="shared" si="96"/>
        <v>11511000</v>
      </c>
      <c r="K288" s="107">
        <f t="shared" si="96"/>
        <v>18249000</v>
      </c>
      <c r="L288" s="107">
        <f t="shared" si="96"/>
        <v>17838000</v>
      </c>
      <c r="M288" s="107">
        <f t="shared" si="96"/>
        <v>9612000</v>
      </c>
      <c r="N288" s="107">
        <f t="shared" si="96"/>
        <v>10540000</v>
      </c>
      <c r="O288" s="107">
        <f t="shared" si="96"/>
        <v>17088000</v>
      </c>
      <c r="P288" s="107">
        <f t="shared" si="96"/>
        <v>11922000</v>
      </c>
      <c r="Q288" s="107">
        <f t="shared" si="96"/>
        <v>12680000</v>
      </c>
      <c r="R288" s="107">
        <f t="shared" si="96"/>
        <v>132636000</v>
      </c>
      <c r="S288" s="107">
        <f>S285+S287</f>
        <v>1496000</v>
      </c>
      <c r="T288" s="107"/>
      <c r="U288" s="107"/>
      <c r="V288" s="107"/>
      <c r="W288" s="107">
        <f>W285+W287-S233</f>
        <v>288575236</v>
      </c>
      <c r="X288" s="107">
        <f>X285+W287</f>
        <v>4028777236</v>
      </c>
    </row>
    <row r="289" spans="1:24" x14ac:dyDescent="0.2">
      <c r="H289" s="107"/>
      <c r="S289" s="107"/>
      <c r="T289" s="107"/>
      <c r="U289" s="107"/>
      <c r="V289" s="107"/>
      <c r="X289" s="107"/>
    </row>
    <row r="290" spans="1:24" x14ac:dyDescent="0.2">
      <c r="A290" s="112" t="s">
        <v>49</v>
      </c>
      <c r="B290" s="107">
        <v>0</v>
      </c>
      <c r="C290" s="107">
        <v>3360000</v>
      </c>
      <c r="D290" s="107">
        <v>5316000</v>
      </c>
      <c r="E290" s="107">
        <v>2016000</v>
      </c>
      <c r="F290" s="107">
        <v>3162000</v>
      </c>
      <c r="G290" s="107">
        <f>SUM(B290:F290)</f>
        <v>13854000</v>
      </c>
      <c r="I290" s="107">
        <v>984000</v>
      </c>
      <c r="J290" s="107">
        <v>0</v>
      </c>
      <c r="K290" s="107">
        <v>1173000</v>
      </c>
      <c r="L290" s="107">
        <v>1296000</v>
      </c>
      <c r="M290" s="107">
        <v>243000</v>
      </c>
      <c r="N290" s="107">
        <v>872000</v>
      </c>
      <c r="O290" s="107">
        <v>1503000</v>
      </c>
      <c r="P290" s="107">
        <v>3024000</v>
      </c>
      <c r="Q290" s="107">
        <v>8000</v>
      </c>
      <c r="R290" s="107">
        <f>SUM(I290:Q290)</f>
        <v>9103000</v>
      </c>
      <c r="S290" s="107">
        <f>4881*1000</f>
        <v>4881000</v>
      </c>
      <c r="T290" s="107"/>
      <c r="U290" s="107"/>
      <c r="V290" s="107"/>
      <c r="W290" s="107">
        <f>R290+G290+S290</f>
        <v>27838000</v>
      </c>
      <c r="X290" s="107"/>
    </row>
    <row r="291" spans="1:24" x14ac:dyDescent="0.2">
      <c r="A291" s="112" t="s">
        <v>42</v>
      </c>
      <c r="B291" s="107">
        <f t="shared" ref="B291:G291" si="97">B288+B290-B236</f>
        <v>2098019</v>
      </c>
      <c r="C291" s="107">
        <f t="shared" si="97"/>
        <v>33356415</v>
      </c>
      <c r="D291" s="107">
        <f t="shared" si="97"/>
        <v>48066923</v>
      </c>
      <c r="E291" s="107">
        <f t="shared" si="97"/>
        <v>37692531</v>
      </c>
      <c r="F291" s="107">
        <f t="shared" si="97"/>
        <v>30915748</v>
      </c>
      <c r="G291" s="107">
        <f t="shared" si="97"/>
        <v>152129636</v>
      </c>
      <c r="I291" s="107">
        <f t="shared" ref="I291:R291" si="98">I288+I290-I236</f>
        <v>18468000</v>
      </c>
      <c r="J291" s="107">
        <f t="shared" si="98"/>
        <v>7632000</v>
      </c>
      <c r="K291" s="107">
        <f t="shared" si="98"/>
        <v>17673000</v>
      </c>
      <c r="L291" s="107">
        <f t="shared" si="98"/>
        <v>17469000</v>
      </c>
      <c r="M291" s="107">
        <f t="shared" si="98"/>
        <v>9855000</v>
      </c>
      <c r="N291" s="107">
        <f t="shared" si="98"/>
        <v>10270000</v>
      </c>
      <c r="O291" s="107">
        <f t="shared" si="98"/>
        <v>17061000</v>
      </c>
      <c r="P291" s="107">
        <f t="shared" si="98"/>
        <v>12510000</v>
      </c>
      <c r="Q291" s="107">
        <f t="shared" si="98"/>
        <v>10332000</v>
      </c>
      <c r="R291" s="107">
        <f t="shared" si="98"/>
        <v>121270000</v>
      </c>
      <c r="S291" s="107">
        <f>S288+S290</f>
        <v>6377000</v>
      </c>
      <c r="T291" s="107"/>
      <c r="U291" s="107"/>
      <c r="V291" s="107"/>
      <c r="W291" s="107">
        <f>W288+W290-S236</f>
        <v>279776636</v>
      </c>
      <c r="X291" s="107">
        <f>X288+W290</f>
        <v>4056615236</v>
      </c>
    </row>
    <row r="292" spans="1:24" x14ac:dyDescent="0.2">
      <c r="S292" s="107"/>
      <c r="T292" s="107"/>
      <c r="U292" s="107"/>
      <c r="V292" s="107"/>
      <c r="X292" s="107"/>
    </row>
    <row r="293" spans="1:24" x14ac:dyDescent="0.2">
      <c r="A293" s="112" t="s">
        <v>50</v>
      </c>
      <c r="B293" s="107">
        <v>0</v>
      </c>
      <c r="C293" s="107">
        <v>3072000</v>
      </c>
      <c r="D293" s="107">
        <v>4956000</v>
      </c>
      <c r="E293" s="107">
        <v>2061000</v>
      </c>
      <c r="F293" s="107">
        <v>2730000</v>
      </c>
      <c r="G293" s="107">
        <f>SUM(B293:F293)</f>
        <v>12819000</v>
      </c>
      <c r="I293" s="107">
        <v>0</v>
      </c>
      <c r="J293" s="107">
        <v>0</v>
      </c>
      <c r="K293" s="107">
        <v>1308000</v>
      </c>
      <c r="L293" s="107">
        <v>1407000</v>
      </c>
      <c r="M293" s="107">
        <v>1125000</v>
      </c>
      <c r="N293" s="107">
        <v>836000</v>
      </c>
      <c r="O293" s="107">
        <v>1392000</v>
      </c>
      <c r="P293" s="107">
        <v>2712000</v>
      </c>
      <c r="Q293" s="107">
        <v>0</v>
      </c>
      <c r="R293" s="107">
        <f>SUM(I293:Q293)</f>
        <v>8780000</v>
      </c>
      <c r="S293" s="107">
        <f>375*1000</f>
        <v>375000</v>
      </c>
      <c r="T293" s="107"/>
      <c r="U293" s="107"/>
      <c r="V293" s="107"/>
      <c r="W293" s="107">
        <f>R293+G293+S293</f>
        <v>21974000</v>
      </c>
      <c r="X293" s="107"/>
    </row>
    <row r="294" spans="1:24" x14ac:dyDescent="0.2">
      <c r="A294" s="112" t="s">
        <v>42</v>
      </c>
      <c r="B294" s="107">
        <f t="shared" ref="B294:G294" si="99">B291+B293-B239</f>
        <v>1545600</v>
      </c>
      <c r="C294" s="107">
        <f t="shared" si="99"/>
        <v>33576461</v>
      </c>
      <c r="D294" s="107">
        <f t="shared" si="99"/>
        <v>47705553</v>
      </c>
      <c r="E294" s="107">
        <f t="shared" si="99"/>
        <v>33673602</v>
      </c>
      <c r="F294" s="107">
        <f t="shared" si="99"/>
        <v>31349700</v>
      </c>
      <c r="G294" s="107">
        <f t="shared" si="99"/>
        <v>147850916</v>
      </c>
      <c r="I294" s="107">
        <f t="shared" ref="I294:R294" si="100">I291+I293-I239</f>
        <v>13884000</v>
      </c>
      <c r="J294" s="107">
        <f t="shared" si="100"/>
        <v>4815000</v>
      </c>
      <c r="K294" s="107">
        <f t="shared" si="100"/>
        <v>17244000</v>
      </c>
      <c r="L294" s="107">
        <f t="shared" si="100"/>
        <v>17199000</v>
      </c>
      <c r="M294" s="107">
        <f t="shared" si="100"/>
        <v>10980000</v>
      </c>
      <c r="N294" s="107">
        <f t="shared" si="100"/>
        <v>10042000</v>
      </c>
      <c r="O294" s="107">
        <f t="shared" si="100"/>
        <v>17100000</v>
      </c>
      <c r="P294" s="107">
        <f t="shared" si="100"/>
        <v>14436000</v>
      </c>
      <c r="Q294" s="107">
        <f t="shared" si="100"/>
        <v>8716000</v>
      </c>
      <c r="R294" s="107">
        <f t="shared" si="100"/>
        <v>114416000</v>
      </c>
      <c r="S294" s="107">
        <f>S291+S293</f>
        <v>6752000</v>
      </c>
      <c r="T294" s="107"/>
      <c r="U294" s="107"/>
      <c r="V294" s="107"/>
      <c r="W294" s="107">
        <f>W291+W293-S239</f>
        <v>269018916</v>
      </c>
      <c r="X294" s="107">
        <f>X291+W293</f>
        <v>4078589236</v>
      </c>
    </row>
    <row r="295" spans="1:24" x14ac:dyDescent="0.2">
      <c r="S295" s="107"/>
      <c r="T295" s="107"/>
      <c r="U295" s="107"/>
      <c r="V295" s="107"/>
      <c r="X295" s="107"/>
    </row>
    <row r="296" spans="1:24" x14ac:dyDescent="0.2">
      <c r="A296" s="112" t="s">
        <v>51</v>
      </c>
      <c r="B296" s="107">
        <v>0</v>
      </c>
      <c r="C296" s="107">
        <v>2460000</v>
      </c>
      <c r="D296" s="107">
        <v>3648000</v>
      </c>
      <c r="E296" s="107">
        <v>279000</v>
      </c>
      <c r="F296" s="107">
        <v>2256000</v>
      </c>
      <c r="G296" s="107">
        <f>SUM(B296:F296)</f>
        <v>8643000</v>
      </c>
      <c r="I296" s="107">
        <v>2364000</v>
      </c>
      <c r="J296" s="107">
        <v>621000</v>
      </c>
      <c r="K296" s="107">
        <v>114000</v>
      </c>
      <c r="L296" s="107">
        <v>132000</v>
      </c>
      <c r="M296" s="107">
        <v>0</v>
      </c>
      <c r="N296" s="107">
        <v>906000</v>
      </c>
      <c r="O296" s="107">
        <v>1305000</v>
      </c>
      <c r="P296" s="107">
        <v>2940000</v>
      </c>
      <c r="Q296" s="107">
        <v>1960000</v>
      </c>
      <c r="R296" s="107">
        <f>SUM(I296:Q296)</f>
        <v>10342000</v>
      </c>
      <c r="S296" s="107">
        <v>0</v>
      </c>
      <c r="T296" s="107"/>
      <c r="U296" s="107"/>
      <c r="V296" s="107"/>
      <c r="W296" s="107">
        <f>R296+G296+S296</f>
        <v>18985000</v>
      </c>
      <c r="X296" s="107"/>
    </row>
    <row r="297" spans="1:24" x14ac:dyDescent="0.2">
      <c r="A297" s="112" t="s">
        <v>42</v>
      </c>
      <c r="B297" s="107">
        <f t="shared" ref="B297:G297" si="101">B294+B296-B242</f>
        <v>1545600</v>
      </c>
      <c r="C297" s="107">
        <f t="shared" si="101"/>
        <v>33504461</v>
      </c>
      <c r="D297" s="107">
        <f t="shared" si="101"/>
        <v>46001553</v>
      </c>
      <c r="E297" s="107">
        <f t="shared" si="101"/>
        <v>30451602</v>
      </c>
      <c r="F297" s="107">
        <f t="shared" si="101"/>
        <v>30647700</v>
      </c>
      <c r="G297" s="107">
        <f t="shared" si="101"/>
        <v>142150916</v>
      </c>
      <c r="I297" s="107">
        <f t="shared" ref="I297:R297" si="102">I294+I296-I242</f>
        <v>15396000</v>
      </c>
      <c r="J297" s="107">
        <f t="shared" si="102"/>
        <v>5436000</v>
      </c>
      <c r="K297" s="107">
        <f t="shared" si="102"/>
        <v>15924000</v>
      </c>
      <c r="L297" s="107">
        <f t="shared" si="102"/>
        <v>15855000</v>
      </c>
      <c r="M297" s="107">
        <f t="shared" si="102"/>
        <v>10980000</v>
      </c>
      <c r="N297" s="107">
        <f t="shared" si="102"/>
        <v>9910000</v>
      </c>
      <c r="O297" s="107">
        <f t="shared" si="102"/>
        <v>16974000</v>
      </c>
      <c r="P297" s="107">
        <f t="shared" si="102"/>
        <v>17190000</v>
      </c>
      <c r="Q297" s="107">
        <f t="shared" si="102"/>
        <v>10676000</v>
      </c>
      <c r="R297" s="107">
        <f t="shared" si="102"/>
        <v>118341000</v>
      </c>
      <c r="S297" s="107">
        <f>S294+S296</f>
        <v>6752000</v>
      </c>
      <c r="T297" s="107"/>
      <c r="U297" s="107"/>
      <c r="V297" s="107"/>
      <c r="W297" s="107">
        <f>W294+W296-S242</f>
        <v>267243916</v>
      </c>
      <c r="X297" s="107">
        <f>X294+W296</f>
        <v>4097574236</v>
      </c>
    </row>
    <row r="298" spans="1:24" x14ac:dyDescent="0.2">
      <c r="S298" s="107"/>
      <c r="T298" s="107"/>
      <c r="U298" s="107"/>
      <c r="V298" s="107"/>
      <c r="X298" s="107"/>
    </row>
    <row r="299" spans="1:24" x14ac:dyDescent="0.2">
      <c r="A299" s="112" t="s">
        <v>52</v>
      </c>
      <c r="B299" s="107">
        <v>0</v>
      </c>
      <c r="C299" s="107">
        <v>2040000</v>
      </c>
      <c r="D299" s="107">
        <v>2988000</v>
      </c>
      <c r="E299" s="107">
        <v>945000</v>
      </c>
      <c r="F299" s="107">
        <v>2232000</v>
      </c>
      <c r="G299" s="107">
        <f>SUM(B299:F299)</f>
        <v>8205000</v>
      </c>
      <c r="I299" s="107">
        <v>924000</v>
      </c>
      <c r="J299" s="107">
        <v>0</v>
      </c>
      <c r="K299" s="107">
        <v>0</v>
      </c>
      <c r="L299" s="107">
        <v>0</v>
      </c>
      <c r="M299" s="107">
        <v>0</v>
      </c>
      <c r="N299" s="107">
        <v>340000</v>
      </c>
      <c r="O299" s="107">
        <v>1341000</v>
      </c>
      <c r="P299" s="107">
        <v>1038000</v>
      </c>
      <c r="Q299" s="107">
        <v>2248000</v>
      </c>
      <c r="R299" s="107">
        <f>SUM(I299:Q299)</f>
        <v>5891000</v>
      </c>
      <c r="S299" s="107">
        <v>0</v>
      </c>
      <c r="T299" s="107"/>
      <c r="U299" s="107"/>
      <c r="V299" s="107"/>
      <c r="W299" s="107">
        <f>R299+G299+S299</f>
        <v>14096000</v>
      </c>
      <c r="X299" s="107"/>
    </row>
    <row r="300" spans="1:24" x14ac:dyDescent="0.2">
      <c r="A300" s="112" t="s">
        <v>42</v>
      </c>
      <c r="B300" s="107">
        <f t="shared" ref="B300:G300" si="103">B297+B299-B245</f>
        <v>1545600</v>
      </c>
      <c r="C300" s="107">
        <f t="shared" si="103"/>
        <v>33078461</v>
      </c>
      <c r="D300" s="107">
        <f t="shared" si="103"/>
        <v>44477553</v>
      </c>
      <c r="E300" s="107">
        <f t="shared" si="103"/>
        <v>28300602</v>
      </c>
      <c r="F300" s="107">
        <f t="shared" si="103"/>
        <v>29903700</v>
      </c>
      <c r="G300" s="107">
        <f t="shared" si="103"/>
        <v>137305916</v>
      </c>
      <c r="I300" s="107">
        <f t="shared" ref="I300:R300" si="104">I297+I299-I245</f>
        <v>16320000</v>
      </c>
      <c r="J300" s="107">
        <f t="shared" si="104"/>
        <v>5436000</v>
      </c>
      <c r="K300" s="107">
        <f t="shared" si="104"/>
        <v>14265000</v>
      </c>
      <c r="L300" s="107">
        <f t="shared" si="104"/>
        <v>14241000</v>
      </c>
      <c r="M300" s="107">
        <f t="shared" si="104"/>
        <v>10980000</v>
      </c>
      <c r="N300" s="107">
        <f t="shared" si="104"/>
        <v>9336000</v>
      </c>
      <c r="O300" s="107">
        <f t="shared" si="104"/>
        <v>16821000</v>
      </c>
      <c r="P300" s="107">
        <f t="shared" si="104"/>
        <v>17640000</v>
      </c>
      <c r="Q300" s="107">
        <f t="shared" si="104"/>
        <v>12924000</v>
      </c>
      <c r="R300" s="107">
        <f t="shared" si="104"/>
        <v>117963000</v>
      </c>
      <c r="S300" s="107">
        <f>S297+S299</f>
        <v>6752000</v>
      </c>
      <c r="T300" s="107"/>
      <c r="U300" s="107"/>
      <c r="V300" s="107"/>
      <c r="W300" s="107">
        <f>W297+W299-S245</f>
        <v>262020916</v>
      </c>
      <c r="X300" s="107">
        <f>X297+W299</f>
        <v>4111670236</v>
      </c>
    </row>
    <row r="301" spans="1:24" x14ac:dyDescent="0.2">
      <c r="S301" s="107"/>
      <c r="T301" s="107"/>
      <c r="U301" s="107"/>
      <c r="V301" s="107"/>
      <c r="X301" s="107"/>
    </row>
    <row r="302" spans="1:24" x14ac:dyDescent="0.2">
      <c r="A302" s="112" t="s">
        <v>53</v>
      </c>
      <c r="B302" s="107">
        <v>0</v>
      </c>
      <c r="C302" s="107">
        <v>2484000</v>
      </c>
      <c r="D302" s="107">
        <v>2388000</v>
      </c>
      <c r="E302" s="107">
        <v>3087000</v>
      </c>
      <c r="F302" s="107">
        <v>1602000</v>
      </c>
      <c r="G302" s="107">
        <f>SUM(B302:F302)</f>
        <v>9561000</v>
      </c>
      <c r="I302" s="107">
        <v>1560000</v>
      </c>
      <c r="J302" s="107">
        <v>1071000</v>
      </c>
      <c r="K302" s="107">
        <v>1710000</v>
      </c>
      <c r="L302" s="107">
        <v>1659000</v>
      </c>
      <c r="M302" s="107">
        <v>0</v>
      </c>
      <c r="N302" s="107">
        <v>544000</v>
      </c>
      <c r="O302" s="107">
        <v>1290000</v>
      </c>
      <c r="P302" s="107">
        <v>516000</v>
      </c>
      <c r="Q302" s="107">
        <v>532000</v>
      </c>
      <c r="R302" s="107">
        <f>SUM(I302:Q302)</f>
        <v>8882000</v>
      </c>
      <c r="S302" s="107">
        <v>0</v>
      </c>
      <c r="T302" s="107"/>
      <c r="U302" s="107"/>
      <c r="V302" s="107"/>
      <c r="W302" s="107">
        <f>R302+G302+S302</f>
        <v>18443000</v>
      </c>
      <c r="X302" s="107"/>
    </row>
    <row r="303" spans="1:24" x14ac:dyDescent="0.2">
      <c r="A303" s="112" t="s">
        <v>42</v>
      </c>
      <c r="B303" s="107">
        <f t="shared" ref="B303:G303" si="105">B300+B302-B248</f>
        <v>1545600</v>
      </c>
      <c r="C303" s="107">
        <f t="shared" si="105"/>
        <v>32766461</v>
      </c>
      <c r="D303" s="107">
        <f t="shared" si="105"/>
        <v>43073553</v>
      </c>
      <c r="E303" s="107">
        <f t="shared" si="105"/>
        <v>30163602</v>
      </c>
      <c r="F303" s="107">
        <f t="shared" si="105"/>
        <v>28439700</v>
      </c>
      <c r="G303" s="107">
        <f t="shared" si="105"/>
        <v>135988916</v>
      </c>
      <c r="I303" s="107">
        <f t="shared" ref="I303:R303" si="106">I300+I302-I248</f>
        <v>17064000</v>
      </c>
      <c r="J303" s="107">
        <f t="shared" si="106"/>
        <v>6507000</v>
      </c>
      <c r="K303" s="107">
        <f t="shared" si="106"/>
        <v>14016000</v>
      </c>
      <c r="L303" s="107">
        <f t="shared" si="106"/>
        <v>14061000</v>
      </c>
      <c r="M303" s="107">
        <f t="shared" si="106"/>
        <v>10980000</v>
      </c>
      <c r="N303" s="107">
        <f t="shared" si="106"/>
        <v>9138000</v>
      </c>
      <c r="O303" s="107">
        <f t="shared" si="106"/>
        <v>16551000</v>
      </c>
      <c r="P303" s="107">
        <f t="shared" si="106"/>
        <v>18156000</v>
      </c>
      <c r="Q303" s="107">
        <f t="shared" si="106"/>
        <v>13456000</v>
      </c>
      <c r="R303" s="107">
        <f t="shared" si="106"/>
        <v>119929000</v>
      </c>
      <c r="S303" s="107">
        <f>S300+S302</f>
        <v>6752000</v>
      </c>
      <c r="T303" s="107"/>
      <c r="U303" s="107"/>
      <c r="V303" s="107"/>
      <c r="W303" s="107">
        <f>W300+W302-S248</f>
        <v>262669916</v>
      </c>
      <c r="X303" s="107">
        <f>X300+W302</f>
        <v>4130113236</v>
      </c>
    </row>
    <row r="304" spans="1:24" x14ac:dyDescent="0.2">
      <c r="W304" s="107"/>
      <c r="X304" s="107"/>
    </row>
    <row r="305" spans="1:24" x14ac:dyDescent="0.2">
      <c r="L305" s="109"/>
      <c r="M305" s="110"/>
      <c r="W305" s="107"/>
      <c r="X305" s="113">
        <v>0</v>
      </c>
    </row>
    <row r="306" spans="1:24" x14ac:dyDescent="0.2">
      <c r="W306" s="107"/>
      <c r="X306" s="113">
        <v>0</v>
      </c>
    </row>
    <row r="307" spans="1:24" x14ac:dyDescent="0.2">
      <c r="W307" s="107"/>
    </row>
    <row r="308" spans="1:24" x14ac:dyDescent="0.2">
      <c r="W308" s="107"/>
      <c r="X308" s="107"/>
    </row>
    <row r="309" spans="1:24" x14ac:dyDescent="0.2">
      <c r="W309" s="107"/>
    </row>
    <row r="310" spans="1:24" x14ac:dyDescent="0.2">
      <c r="W310" s="107"/>
    </row>
    <row r="311" spans="1:24" x14ac:dyDescent="0.2">
      <c r="W311" s="107"/>
      <c r="X311" s="107"/>
    </row>
    <row r="312" spans="1:24" x14ac:dyDescent="0.2">
      <c r="D312" s="108" t="s">
        <v>104</v>
      </c>
      <c r="L312" s="109">
        <f ca="1">NOW()</f>
        <v>42312.648458217591</v>
      </c>
      <c r="M312" s="110">
        <f ca="1">NOW()</f>
        <v>42312.648458217591</v>
      </c>
      <c r="O312" s="108" t="s">
        <v>100</v>
      </c>
      <c r="W312" s="107"/>
    </row>
    <row r="313" spans="1:24" x14ac:dyDescent="0.2">
      <c r="D313" s="108" t="s">
        <v>2</v>
      </c>
      <c r="F313" s="108" t="s">
        <v>2</v>
      </c>
      <c r="H313" s="108" t="s">
        <v>3</v>
      </c>
      <c r="I313" s="108" t="s">
        <v>3</v>
      </c>
      <c r="J313" s="108" t="s">
        <v>4</v>
      </c>
      <c r="W313" s="107"/>
      <c r="X313" s="107"/>
    </row>
    <row r="314" spans="1:24" x14ac:dyDescent="0.2">
      <c r="F314" s="108" t="s">
        <v>93</v>
      </c>
      <c r="W314" s="107"/>
      <c r="X314" s="107"/>
    </row>
    <row r="315" spans="1:24" x14ac:dyDescent="0.2">
      <c r="X315" s="111" t="s">
        <v>7</v>
      </c>
    </row>
    <row r="316" spans="1:24" x14ac:dyDescent="0.2">
      <c r="B316" s="108" t="s">
        <v>94</v>
      </c>
      <c r="I316" s="108" t="s">
        <v>95</v>
      </c>
      <c r="X316" s="111" t="s">
        <v>10</v>
      </c>
    </row>
    <row r="317" spans="1:24" x14ac:dyDescent="0.2">
      <c r="B317" s="112" t="s">
        <v>11</v>
      </c>
      <c r="C317" s="112" t="s">
        <v>12</v>
      </c>
      <c r="D317" s="112" t="s">
        <v>13</v>
      </c>
      <c r="E317" s="112" t="s">
        <v>14</v>
      </c>
      <c r="F317" s="112" t="s">
        <v>15</v>
      </c>
      <c r="G317" s="112" t="s">
        <v>16</v>
      </c>
      <c r="I317" s="112" t="s">
        <v>17</v>
      </c>
      <c r="N317" s="112" t="s">
        <v>18</v>
      </c>
      <c r="O317" s="112" t="s">
        <v>19</v>
      </c>
      <c r="P317" s="112" t="s">
        <v>20</v>
      </c>
      <c r="Q317" s="112" t="s">
        <v>21</v>
      </c>
      <c r="R317" s="112" t="s">
        <v>16</v>
      </c>
      <c r="S317" s="112" t="s">
        <v>102</v>
      </c>
      <c r="T317" s="112"/>
      <c r="U317" s="112"/>
      <c r="V317" s="112"/>
      <c r="W317" s="112" t="s">
        <v>7</v>
      </c>
      <c r="X317" s="111" t="s">
        <v>22</v>
      </c>
    </row>
    <row r="318" spans="1:24" x14ac:dyDescent="0.2">
      <c r="B318" s="112" t="s">
        <v>23</v>
      </c>
      <c r="C318" s="112" t="s">
        <v>24</v>
      </c>
      <c r="D318" s="112" t="s">
        <v>25</v>
      </c>
      <c r="E318" s="112" t="s">
        <v>26</v>
      </c>
      <c r="F318" s="112" t="s">
        <v>27</v>
      </c>
      <c r="G318" s="112" t="s">
        <v>28</v>
      </c>
      <c r="I318" s="112" t="s">
        <v>29</v>
      </c>
      <c r="J318" s="112" t="s">
        <v>30</v>
      </c>
      <c r="K318" s="112" t="s">
        <v>31</v>
      </c>
      <c r="L318" s="112" t="s">
        <v>32</v>
      </c>
      <c r="M318" s="112" t="s">
        <v>33</v>
      </c>
      <c r="N318" s="112" t="s">
        <v>34</v>
      </c>
      <c r="O318" s="112" t="s">
        <v>35</v>
      </c>
      <c r="P318" s="112" t="s">
        <v>36</v>
      </c>
      <c r="Q318" s="112" t="s">
        <v>37</v>
      </c>
      <c r="R318" s="112" t="s">
        <v>28</v>
      </c>
      <c r="S318" s="112" t="s">
        <v>103</v>
      </c>
      <c r="T318" s="112"/>
      <c r="U318" s="112"/>
      <c r="V318" s="112"/>
      <c r="W318" s="112" t="s">
        <v>10</v>
      </c>
      <c r="X318" s="111" t="s">
        <v>38</v>
      </c>
    </row>
    <row r="319" spans="1:24" x14ac:dyDescent="0.2">
      <c r="B319" s="112" t="s">
        <v>39</v>
      </c>
      <c r="C319" s="112" t="s">
        <v>40</v>
      </c>
      <c r="D319" s="112" t="s">
        <v>40</v>
      </c>
      <c r="E319" s="112" t="s">
        <v>40</v>
      </c>
      <c r="F319" s="112" t="s">
        <v>40</v>
      </c>
      <c r="G319" s="112" t="s">
        <v>40</v>
      </c>
      <c r="I319" s="112" t="s">
        <v>40</v>
      </c>
      <c r="J319" s="112" t="s">
        <v>40</v>
      </c>
      <c r="K319" s="112" t="s">
        <v>40</v>
      </c>
      <c r="L319" s="112" t="s">
        <v>40</v>
      </c>
      <c r="M319" s="112" t="s">
        <v>40</v>
      </c>
      <c r="N319" s="112" t="s">
        <v>40</v>
      </c>
      <c r="O319" s="112" t="s">
        <v>40</v>
      </c>
      <c r="P319" s="112" t="s">
        <v>40</v>
      </c>
      <c r="Q319" s="112" t="s">
        <v>40</v>
      </c>
      <c r="R319" s="112" t="s">
        <v>40</v>
      </c>
      <c r="S319" s="112" t="s">
        <v>40</v>
      </c>
      <c r="T319" s="112"/>
      <c r="U319" s="112"/>
      <c r="V319" s="112"/>
      <c r="W319" s="112" t="s">
        <v>40</v>
      </c>
      <c r="X319" s="111" t="s">
        <v>40</v>
      </c>
    </row>
    <row r="320" spans="1:24" x14ac:dyDescent="0.2">
      <c r="A320" s="112" t="s">
        <v>41</v>
      </c>
      <c r="B320" s="107">
        <v>0</v>
      </c>
      <c r="C320" s="107">
        <v>3294000</v>
      </c>
      <c r="D320" s="107">
        <v>828000</v>
      </c>
      <c r="E320" s="107">
        <v>0</v>
      </c>
      <c r="F320" s="107">
        <v>846000</v>
      </c>
      <c r="G320" s="107">
        <f>SUM(B320:F320)</f>
        <v>4968000</v>
      </c>
      <c r="H320" s="107"/>
      <c r="I320" s="107">
        <v>0</v>
      </c>
      <c r="J320" s="107">
        <v>0</v>
      </c>
      <c r="K320" s="107">
        <f>1569*1000</f>
        <v>1569000</v>
      </c>
      <c r="L320" s="107">
        <f>1434*1000</f>
        <v>1434000</v>
      </c>
      <c r="M320" s="107">
        <v>0</v>
      </c>
      <c r="N320" s="107">
        <v>0</v>
      </c>
      <c r="O320" s="107">
        <f>771*1000</f>
        <v>771000</v>
      </c>
      <c r="P320" s="107">
        <f>912*1000</f>
        <v>912000</v>
      </c>
      <c r="Q320" s="107">
        <v>0</v>
      </c>
      <c r="R320" s="107">
        <f>SUM(I320:Q320)</f>
        <v>4686000</v>
      </c>
      <c r="S320" s="113">
        <v>0</v>
      </c>
      <c r="T320" s="113"/>
      <c r="U320" s="113"/>
      <c r="V320" s="113"/>
      <c r="W320" s="107">
        <f>R320+G320</f>
        <v>9654000</v>
      </c>
      <c r="X320" s="107"/>
    </row>
    <row r="321" spans="1:24" x14ac:dyDescent="0.2">
      <c r="A321" s="112" t="s">
        <v>42</v>
      </c>
      <c r="B321" s="107">
        <f t="shared" ref="B321:G321" si="107">B303+B320-B269</f>
        <v>1545600</v>
      </c>
      <c r="C321" s="107">
        <f t="shared" si="107"/>
        <v>33684461</v>
      </c>
      <c r="D321" s="107">
        <f t="shared" si="107"/>
        <v>40661553</v>
      </c>
      <c r="E321" s="107">
        <f t="shared" si="107"/>
        <v>29902602</v>
      </c>
      <c r="F321" s="107">
        <f t="shared" si="107"/>
        <v>26291700</v>
      </c>
      <c r="G321" s="107">
        <f t="shared" si="107"/>
        <v>132085916</v>
      </c>
      <c r="H321" s="107"/>
      <c r="I321" s="107">
        <f t="shared" ref="I321:W321" si="108">I303+I320-I269</f>
        <v>16812000</v>
      </c>
      <c r="J321" s="107">
        <f t="shared" si="108"/>
        <v>6507000</v>
      </c>
      <c r="K321" s="107">
        <f t="shared" si="108"/>
        <v>14055000</v>
      </c>
      <c r="L321" s="107">
        <f t="shared" si="108"/>
        <v>14025000</v>
      </c>
      <c r="M321" s="107">
        <f t="shared" si="108"/>
        <v>10980000</v>
      </c>
      <c r="N321" s="107">
        <f t="shared" si="108"/>
        <v>8400000</v>
      </c>
      <c r="O321" s="107">
        <f t="shared" si="108"/>
        <v>15948000</v>
      </c>
      <c r="P321" s="107">
        <f t="shared" si="108"/>
        <v>18948000</v>
      </c>
      <c r="Q321" s="107">
        <f t="shared" si="108"/>
        <v>12424000</v>
      </c>
      <c r="R321" s="107">
        <f t="shared" si="108"/>
        <v>118099000</v>
      </c>
      <c r="S321" s="107">
        <f t="shared" si="108"/>
        <v>6752000</v>
      </c>
      <c r="T321" s="107"/>
      <c r="U321" s="107"/>
      <c r="V321" s="107"/>
      <c r="W321" s="107">
        <f t="shared" si="108"/>
        <v>256936916</v>
      </c>
      <c r="X321" s="107">
        <f>X303+W320</f>
        <v>4139767236</v>
      </c>
    </row>
    <row r="322" spans="1:24" x14ac:dyDescent="0.2">
      <c r="H322" s="107"/>
      <c r="S322" s="107"/>
      <c r="T322" s="107"/>
      <c r="U322" s="107"/>
      <c r="V322" s="107"/>
      <c r="X322" s="107"/>
    </row>
    <row r="323" spans="1:24" x14ac:dyDescent="0.2">
      <c r="A323" s="112" t="s">
        <v>43</v>
      </c>
      <c r="B323" s="107">
        <v>0</v>
      </c>
      <c r="C323" s="107">
        <f>3204*1000</f>
        <v>3204000</v>
      </c>
      <c r="D323" s="107">
        <f>144*1000</f>
        <v>144000</v>
      </c>
      <c r="E323" s="107">
        <v>0</v>
      </c>
      <c r="F323" s="107">
        <v>954000</v>
      </c>
      <c r="G323" s="107">
        <f>SUM(B323:F323)</f>
        <v>4302000</v>
      </c>
      <c r="H323" s="107"/>
      <c r="I323" s="107">
        <v>0</v>
      </c>
      <c r="J323" s="107">
        <v>0</v>
      </c>
      <c r="K323" s="107">
        <f>1455*1000</f>
        <v>1455000</v>
      </c>
      <c r="L323" s="107">
        <f>1374*1000</f>
        <v>1374000</v>
      </c>
      <c r="M323" s="107">
        <v>0</v>
      </c>
      <c r="N323" s="107">
        <v>0</v>
      </c>
      <c r="O323" s="107">
        <v>1158000</v>
      </c>
      <c r="P323" s="107">
        <f>1080*1000</f>
        <v>1080000</v>
      </c>
      <c r="Q323" s="107">
        <v>0</v>
      </c>
      <c r="R323" s="107">
        <f>SUM(I323:Q323)</f>
        <v>5067000</v>
      </c>
      <c r="S323" s="113">
        <v>0</v>
      </c>
      <c r="T323" s="113"/>
      <c r="U323" s="113"/>
      <c r="V323" s="113"/>
      <c r="W323" s="107">
        <f>R323+G323</f>
        <v>9369000</v>
      </c>
      <c r="X323" s="107"/>
    </row>
    <row r="324" spans="1:24" x14ac:dyDescent="0.2">
      <c r="A324" s="112" t="s">
        <v>42</v>
      </c>
      <c r="B324" s="107">
        <f t="shared" ref="B324:G324" si="109">B321+B323-B272</f>
        <v>1416000</v>
      </c>
      <c r="C324" s="107">
        <f t="shared" si="109"/>
        <v>34638461</v>
      </c>
      <c r="D324" s="107">
        <f t="shared" si="109"/>
        <v>38429553</v>
      </c>
      <c r="E324" s="107">
        <f t="shared" si="109"/>
        <v>29902602</v>
      </c>
      <c r="F324" s="107">
        <f t="shared" si="109"/>
        <v>25019700</v>
      </c>
      <c r="G324" s="107">
        <f t="shared" si="109"/>
        <v>129406316</v>
      </c>
      <c r="H324" s="107"/>
      <c r="I324" s="107">
        <f t="shared" ref="I324:W324" si="110">I321+I323-I272</f>
        <v>16644000</v>
      </c>
      <c r="J324" s="107">
        <f t="shared" si="110"/>
        <v>6507000</v>
      </c>
      <c r="K324" s="107">
        <f t="shared" si="110"/>
        <v>13908000</v>
      </c>
      <c r="L324" s="107">
        <f t="shared" si="110"/>
        <v>13821000</v>
      </c>
      <c r="M324" s="107">
        <f t="shared" si="110"/>
        <v>10980000</v>
      </c>
      <c r="N324" s="107">
        <f t="shared" si="110"/>
        <v>8200000</v>
      </c>
      <c r="O324" s="107">
        <f t="shared" si="110"/>
        <v>15783000</v>
      </c>
      <c r="P324" s="107">
        <f t="shared" si="110"/>
        <v>20028000</v>
      </c>
      <c r="Q324" s="107">
        <f t="shared" si="110"/>
        <v>12424000</v>
      </c>
      <c r="R324" s="107">
        <f t="shared" si="110"/>
        <v>118295000</v>
      </c>
      <c r="S324" s="107">
        <f t="shared" si="110"/>
        <v>6752000</v>
      </c>
      <c r="T324" s="107"/>
      <c r="U324" s="107"/>
      <c r="V324" s="107"/>
      <c r="W324" s="107">
        <f t="shared" si="110"/>
        <v>254453316</v>
      </c>
      <c r="X324" s="107">
        <f>X321+W323</f>
        <v>4149136236</v>
      </c>
    </row>
    <row r="325" spans="1:24" x14ac:dyDescent="0.2">
      <c r="B325" s="107"/>
      <c r="C325" s="107"/>
      <c r="D325" s="107"/>
      <c r="E325" s="107"/>
      <c r="F325" s="107"/>
      <c r="G325" s="107"/>
      <c r="H325" s="107"/>
      <c r="I325" s="107"/>
      <c r="J325" s="107"/>
      <c r="K325" s="107"/>
      <c r="L325" s="107"/>
      <c r="M325" s="107"/>
      <c r="N325" s="107"/>
      <c r="O325" s="107"/>
      <c r="P325" s="107"/>
      <c r="Q325" s="107"/>
      <c r="R325" s="107"/>
      <c r="S325" s="107"/>
      <c r="T325" s="107"/>
      <c r="U325" s="107"/>
      <c r="V325" s="107"/>
      <c r="W325" s="107"/>
      <c r="X325" s="107"/>
    </row>
    <row r="326" spans="1:24" x14ac:dyDescent="0.2">
      <c r="A326" s="112" t="s">
        <v>44</v>
      </c>
      <c r="B326" s="107">
        <v>0</v>
      </c>
      <c r="C326" s="107">
        <f>3462*1000</f>
        <v>3462000</v>
      </c>
      <c r="D326" s="107">
        <v>0</v>
      </c>
      <c r="E326" s="107">
        <v>0</v>
      </c>
      <c r="F326" s="107">
        <f>1344*1000</f>
        <v>1344000</v>
      </c>
      <c r="G326" s="107">
        <f>SUM(B326:F326)</f>
        <v>4806000</v>
      </c>
      <c r="H326" s="107"/>
      <c r="I326" s="107">
        <v>0</v>
      </c>
      <c r="J326" s="107">
        <v>0</v>
      </c>
      <c r="K326" s="107">
        <f>1698*1000</f>
        <v>1698000</v>
      </c>
      <c r="L326" s="107">
        <f>1632*1000</f>
        <v>1632000</v>
      </c>
      <c r="M326" s="107">
        <v>0</v>
      </c>
      <c r="N326" s="107">
        <v>0</v>
      </c>
      <c r="O326" s="107">
        <f>1341*1000</f>
        <v>1341000</v>
      </c>
      <c r="P326" s="107">
        <v>0</v>
      </c>
      <c r="Q326" s="107">
        <v>0</v>
      </c>
      <c r="R326" s="107">
        <f>SUM(I326:Q326)</f>
        <v>4671000</v>
      </c>
      <c r="S326" s="113">
        <v>0</v>
      </c>
      <c r="T326" s="113"/>
      <c r="U326" s="113"/>
      <c r="V326" s="113"/>
      <c r="W326" s="107">
        <f>R326+G326</f>
        <v>9477000</v>
      </c>
      <c r="X326" s="107"/>
    </row>
    <row r="327" spans="1:24" x14ac:dyDescent="0.2">
      <c r="A327" s="112" t="s">
        <v>42</v>
      </c>
      <c r="B327" s="107">
        <f t="shared" ref="B327:G327" si="111">B324+B326-B275</f>
        <v>1022400</v>
      </c>
      <c r="C327" s="107">
        <f t="shared" si="111"/>
        <v>36036461</v>
      </c>
      <c r="D327" s="107">
        <f t="shared" si="111"/>
        <v>35861553</v>
      </c>
      <c r="E327" s="107">
        <f t="shared" si="111"/>
        <v>29740602</v>
      </c>
      <c r="F327" s="107">
        <f t="shared" si="111"/>
        <v>23885700</v>
      </c>
      <c r="G327" s="107">
        <f t="shared" si="111"/>
        <v>126546716</v>
      </c>
      <c r="H327" s="107"/>
      <c r="I327" s="107">
        <f t="shared" ref="I327:W327" si="112">I324+I326-I275</f>
        <v>14760000</v>
      </c>
      <c r="J327" s="107">
        <f t="shared" si="112"/>
        <v>6048000</v>
      </c>
      <c r="K327" s="107">
        <f t="shared" si="112"/>
        <v>14736000</v>
      </c>
      <c r="L327" s="107">
        <f t="shared" si="112"/>
        <v>14283000</v>
      </c>
      <c r="M327" s="107">
        <f t="shared" si="112"/>
        <v>10980000</v>
      </c>
      <c r="N327" s="107">
        <f t="shared" si="112"/>
        <v>7286000</v>
      </c>
      <c r="O327" s="107">
        <f t="shared" si="112"/>
        <v>15741000</v>
      </c>
      <c r="P327" s="107">
        <f t="shared" si="112"/>
        <v>19722000</v>
      </c>
      <c r="Q327" s="107">
        <f t="shared" si="112"/>
        <v>11296000</v>
      </c>
      <c r="R327" s="107">
        <f t="shared" si="112"/>
        <v>114852000</v>
      </c>
      <c r="S327" s="107">
        <f t="shared" si="112"/>
        <v>6752000</v>
      </c>
      <c r="T327" s="107"/>
      <c r="U327" s="107"/>
      <c r="V327" s="107"/>
      <c r="W327" s="107">
        <f t="shared" si="112"/>
        <v>248150716</v>
      </c>
      <c r="X327" s="107">
        <f>X324+W326</f>
        <v>4158613236</v>
      </c>
    </row>
    <row r="328" spans="1:24" x14ac:dyDescent="0.2">
      <c r="H328" s="107"/>
      <c r="S328" s="107"/>
      <c r="T328" s="107"/>
      <c r="U328" s="107"/>
      <c r="V328" s="107"/>
      <c r="X328" s="107"/>
    </row>
    <row r="329" spans="1:24" x14ac:dyDescent="0.2">
      <c r="A329" s="112" t="s">
        <v>45</v>
      </c>
      <c r="B329" s="107">
        <v>0</v>
      </c>
      <c r="C329" s="107">
        <f>3378*1000</f>
        <v>3378000</v>
      </c>
      <c r="D329" s="107">
        <f>1044*1000</f>
        <v>1044000</v>
      </c>
      <c r="E329" s="107">
        <f>3015*1000</f>
        <v>3015000</v>
      </c>
      <c r="F329" s="107">
        <f>2640*1000</f>
        <v>2640000</v>
      </c>
      <c r="G329" s="107">
        <f>SUM(B329:F329)</f>
        <v>10077000</v>
      </c>
      <c r="H329" s="107"/>
      <c r="I329" s="107">
        <v>0</v>
      </c>
      <c r="J329" s="107">
        <v>0</v>
      </c>
      <c r="K329" s="107">
        <f>1785*1000</f>
        <v>1785000</v>
      </c>
      <c r="L329" s="107">
        <f>1722*1000</f>
        <v>1722000</v>
      </c>
      <c r="M329" s="107">
        <f>1134*1000</f>
        <v>1134000</v>
      </c>
      <c r="N329" s="107">
        <f>782*1000</f>
        <v>782000</v>
      </c>
      <c r="O329" s="107">
        <f>1212*1000</f>
        <v>1212000</v>
      </c>
      <c r="P329" s="107">
        <f>582*1000</f>
        <v>582000</v>
      </c>
      <c r="Q329" s="107">
        <v>0</v>
      </c>
      <c r="R329" s="107">
        <f>SUM(I329:Q329)</f>
        <v>7217000</v>
      </c>
      <c r="S329" s="107">
        <f>478*1000</f>
        <v>478000</v>
      </c>
      <c r="T329" s="107"/>
      <c r="U329" s="107"/>
      <c r="V329" s="107"/>
      <c r="W329" s="107">
        <f>R329+G329+S329</f>
        <v>17772000</v>
      </c>
      <c r="X329" s="107"/>
    </row>
    <row r="330" spans="1:24" x14ac:dyDescent="0.2">
      <c r="A330" s="112" t="s">
        <v>42</v>
      </c>
      <c r="B330" s="107">
        <f t="shared" ref="B330:G330" si="113">B327+B329-B278</f>
        <v>1022400</v>
      </c>
      <c r="C330" s="107">
        <f t="shared" si="113"/>
        <v>36558461</v>
      </c>
      <c r="D330" s="107">
        <f t="shared" si="113"/>
        <v>34637553</v>
      </c>
      <c r="E330" s="107">
        <f t="shared" si="113"/>
        <v>28111602</v>
      </c>
      <c r="F330" s="107">
        <f t="shared" si="113"/>
        <v>25433700</v>
      </c>
      <c r="G330" s="107">
        <f t="shared" si="113"/>
        <v>125763716</v>
      </c>
      <c r="H330" s="107"/>
      <c r="I330" s="107">
        <f t="shared" ref="I330:W330" si="114">I327+I329-I278</f>
        <v>14364000</v>
      </c>
      <c r="J330" s="107">
        <f t="shared" si="114"/>
        <v>6048000</v>
      </c>
      <c r="K330" s="107">
        <f t="shared" si="114"/>
        <v>14943000</v>
      </c>
      <c r="L330" s="107">
        <f t="shared" si="114"/>
        <v>14550000</v>
      </c>
      <c r="M330" s="107">
        <f t="shared" si="114"/>
        <v>11214000</v>
      </c>
      <c r="N330" s="107">
        <f t="shared" si="114"/>
        <v>7116000</v>
      </c>
      <c r="O330" s="107">
        <f t="shared" si="114"/>
        <v>15513000</v>
      </c>
      <c r="P330" s="107">
        <f t="shared" si="114"/>
        <v>20304000</v>
      </c>
      <c r="Q330" s="107">
        <f t="shared" si="114"/>
        <v>9344000</v>
      </c>
      <c r="R330" s="107">
        <f t="shared" si="114"/>
        <v>113396000</v>
      </c>
      <c r="S330" s="107">
        <f t="shared" si="114"/>
        <v>7230000</v>
      </c>
      <c r="T330" s="107"/>
      <c r="U330" s="107"/>
      <c r="V330" s="107"/>
      <c r="W330" s="107">
        <f t="shared" si="114"/>
        <v>246389716</v>
      </c>
      <c r="X330" s="107">
        <f>X327+W329</f>
        <v>4176385236</v>
      </c>
    </row>
    <row r="331" spans="1:24" x14ac:dyDescent="0.2">
      <c r="H331" s="107"/>
      <c r="S331" s="107"/>
      <c r="T331" s="107"/>
      <c r="U331" s="107"/>
      <c r="V331" s="107"/>
      <c r="X331" s="107"/>
    </row>
    <row r="332" spans="1:24" x14ac:dyDescent="0.2">
      <c r="A332" s="112" t="s">
        <v>46</v>
      </c>
      <c r="B332" s="107">
        <v>0</v>
      </c>
      <c r="C332" s="107">
        <f>3378*1000</f>
        <v>3378000</v>
      </c>
      <c r="D332" s="107">
        <f>876*1000</f>
        <v>876000</v>
      </c>
      <c r="E332" s="107">
        <f>2151*1000</f>
        <v>2151000</v>
      </c>
      <c r="F332" s="107">
        <f>3066*1000</f>
        <v>3066000</v>
      </c>
      <c r="G332" s="107">
        <f>SUM(B332:F332)</f>
        <v>9471000</v>
      </c>
      <c r="H332" s="107"/>
      <c r="I332" s="107">
        <v>0</v>
      </c>
      <c r="J332" s="107">
        <v>0</v>
      </c>
      <c r="K332" s="107">
        <f>1518*1000</f>
        <v>1518000</v>
      </c>
      <c r="L332" s="107">
        <f>1419*1000</f>
        <v>1419000</v>
      </c>
      <c r="M332" s="107">
        <f>945*1000</f>
        <v>945000</v>
      </c>
      <c r="N332" s="107">
        <f>630*1000</f>
        <v>630000</v>
      </c>
      <c r="O332" s="107">
        <f>1458*1000</f>
        <v>1458000</v>
      </c>
      <c r="P332" s="107">
        <f>1410*1000</f>
        <v>1410000</v>
      </c>
      <c r="Q332" s="107">
        <v>0</v>
      </c>
      <c r="R332" s="107">
        <f>SUM(I332:Q332)</f>
        <v>7380000</v>
      </c>
      <c r="S332" s="107">
        <f>3856*1000</f>
        <v>3856000</v>
      </c>
      <c r="T332" s="107"/>
      <c r="U332" s="107"/>
      <c r="V332" s="107"/>
      <c r="W332" s="107">
        <f>R332+G332+S332</f>
        <v>20707000</v>
      </c>
      <c r="X332" s="107"/>
    </row>
    <row r="333" spans="1:24" x14ac:dyDescent="0.2">
      <c r="A333" s="112" t="s">
        <v>42</v>
      </c>
      <c r="B333" s="107">
        <f t="shared" ref="B333:G333" si="115">B330+B332-B281</f>
        <v>1022400</v>
      </c>
      <c r="C333" s="107">
        <f t="shared" si="115"/>
        <v>36708461</v>
      </c>
      <c r="D333" s="107">
        <f t="shared" si="115"/>
        <v>31865553</v>
      </c>
      <c r="E333" s="107">
        <f t="shared" si="115"/>
        <v>23620602</v>
      </c>
      <c r="F333" s="107">
        <f t="shared" si="115"/>
        <v>25685700</v>
      </c>
      <c r="G333" s="107">
        <f t="shared" si="115"/>
        <v>118902716</v>
      </c>
      <c r="H333" s="107"/>
      <c r="I333" s="107">
        <f t="shared" ref="I333:W333" si="116">I330+I332-I281</f>
        <v>11976000</v>
      </c>
      <c r="J333" s="107">
        <f t="shared" si="116"/>
        <v>5940000</v>
      </c>
      <c r="K333" s="107">
        <f t="shared" si="116"/>
        <v>15081000</v>
      </c>
      <c r="L333" s="107">
        <f t="shared" si="116"/>
        <v>14718000</v>
      </c>
      <c r="M333" s="107">
        <f t="shared" si="116"/>
        <v>9234000</v>
      </c>
      <c r="N333" s="107">
        <f t="shared" si="116"/>
        <v>6748000</v>
      </c>
      <c r="O333" s="107">
        <f t="shared" si="116"/>
        <v>15315000</v>
      </c>
      <c r="P333" s="107">
        <f t="shared" si="116"/>
        <v>20352000</v>
      </c>
      <c r="Q333" s="107">
        <f t="shared" si="116"/>
        <v>7024000</v>
      </c>
      <c r="R333" s="107">
        <f t="shared" si="116"/>
        <v>106388000</v>
      </c>
      <c r="S333" s="107">
        <f t="shared" si="116"/>
        <v>11086000</v>
      </c>
      <c r="T333" s="107"/>
      <c r="U333" s="107"/>
      <c r="V333" s="107"/>
      <c r="W333" s="107">
        <f t="shared" si="116"/>
        <v>236376716</v>
      </c>
      <c r="X333" s="107">
        <f>X330+W332</f>
        <v>4197092236</v>
      </c>
    </row>
    <row r="334" spans="1:24" x14ac:dyDescent="0.2">
      <c r="H334" s="107"/>
      <c r="S334" s="107"/>
      <c r="T334" s="107"/>
      <c r="U334" s="107"/>
      <c r="V334" s="107"/>
      <c r="X334" s="107"/>
    </row>
    <row r="335" spans="1:24" x14ac:dyDescent="0.2">
      <c r="A335" s="112" t="s">
        <v>47</v>
      </c>
      <c r="B335" s="107">
        <v>0</v>
      </c>
      <c r="C335" s="107">
        <f>3354*1000</f>
        <v>3354000</v>
      </c>
      <c r="D335" s="107">
        <f>1932*1000</f>
        <v>1932000</v>
      </c>
      <c r="E335" s="107">
        <v>1613112</v>
      </c>
      <c r="F335" s="107">
        <f>2238*1000</f>
        <v>2238000</v>
      </c>
      <c r="G335" s="107">
        <f>SUM(B335:F335)</f>
        <v>9137112</v>
      </c>
      <c r="H335" s="107"/>
      <c r="I335" s="107">
        <v>0</v>
      </c>
      <c r="J335" s="107">
        <v>0</v>
      </c>
      <c r="K335" s="107">
        <f>1683*1000</f>
        <v>1683000</v>
      </c>
      <c r="L335" s="107">
        <f>1602*1000</f>
        <v>1602000</v>
      </c>
      <c r="M335" s="107">
        <f>1926*1000</f>
        <v>1926000</v>
      </c>
      <c r="N335" s="107">
        <f>766*1000</f>
        <v>766000</v>
      </c>
      <c r="O335" s="107">
        <f>1488*1000</f>
        <v>1488000</v>
      </c>
      <c r="P335" s="107">
        <f>2724*1000</f>
        <v>2724000</v>
      </c>
      <c r="Q335" s="107">
        <v>4000</v>
      </c>
      <c r="R335" s="107">
        <f>SUM(I335:Q335)</f>
        <v>10193000</v>
      </c>
      <c r="S335" s="107">
        <f>5663*1000</f>
        <v>5663000</v>
      </c>
      <c r="T335" s="107"/>
      <c r="U335" s="107"/>
      <c r="V335" s="107"/>
      <c r="W335" s="107">
        <f>R335+G335+S335</f>
        <v>24993112</v>
      </c>
      <c r="X335" s="107"/>
    </row>
    <row r="336" spans="1:24" x14ac:dyDescent="0.2">
      <c r="A336" s="112" t="s">
        <v>42</v>
      </c>
      <c r="B336" s="107">
        <f t="shared" ref="B336:G336" si="117">B333+B335-B284</f>
        <v>484800</v>
      </c>
      <c r="C336" s="107">
        <f t="shared" si="117"/>
        <v>36972000</v>
      </c>
      <c r="D336" s="107">
        <f t="shared" si="117"/>
        <v>29376000</v>
      </c>
      <c r="E336" s="107">
        <f t="shared" si="117"/>
        <v>18821112</v>
      </c>
      <c r="F336" s="107">
        <f t="shared" si="117"/>
        <v>25800000</v>
      </c>
      <c r="G336" s="107">
        <f t="shared" si="117"/>
        <v>111453912</v>
      </c>
      <c r="H336" s="107"/>
      <c r="I336" s="107">
        <f t="shared" ref="I336:W336" si="118">I333+I335-I284</f>
        <v>6792000</v>
      </c>
      <c r="J336" s="107">
        <f t="shared" si="118"/>
        <v>2187000</v>
      </c>
      <c r="K336" s="107">
        <f t="shared" si="118"/>
        <v>15621000</v>
      </c>
      <c r="L336" s="107">
        <f t="shared" si="118"/>
        <v>15288000</v>
      </c>
      <c r="M336" s="107">
        <f t="shared" si="118"/>
        <v>7587000</v>
      </c>
      <c r="N336" s="107">
        <f t="shared" si="118"/>
        <v>6542000</v>
      </c>
      <c r="O336" s="107">
        <f t="shared" si="118"/>
        <v>15459000</v>
      </c>
      <c r="P336" s="107">
        <f t="shared" si="118"/>
        <v>20082000</v>
      </c>
      <c r="Q336" s="107">
        <f t="shared" si="118"/>
        <v>4776000</v>
      </c>
      <c r="R336" s="107">
        <f t="shared" si="118"/>
        <v>94334000</v>
      </c>
      <c r="S336" s="107">
        <f t="shared" si="118"/>
        <v>16695000</v>
      </c>
      <c r="T336" s="107"/>
      <c r="U336" s="107"/>
      <c r="V336" s="107"/>
      <c r="W336" s="107">
        <f t="shared" si="118"/>
        <v>222482912</v>
      </c>
      <c r="X336" s="107">
        <f>X333+W335</f>
        <v>4222085348</v>
      </c>
    </row>
    <row r="337" spans="1:24" x14ac:dyDescent="0.2">
      <c r="H337" s="107"/>
      <c r="S337" s="114" t="s">
        <v>105</v>
      </c>
      <c r="T337" s="114"/>
      <c r="U337" s="114"/>
      <c r="V337" s="114"/>
      <c r="X337" s="107"/>
    </row>
    <row r="338" spans="1:24" x14ac:dyDescent="0.2">
      <c r="A338" s="112" t="s">
        <v>48</v>
      </c>
      <c r="B338" s="107">
        <v>0</v>
      </c>
      <c r="C338" s="107">
        <f>3546*1000</f>
        <v>3546000</v>
      </c>
      <c r="D338" s="107">
        <f>2729.9*1000</f>
        <v>2729900</v>
      </c>
      <c r="E338" s="107">
        <f>2151*1000</f>
        <v>2151000</v>
      </c>
      <c r="F338" s="107">
        <v>2669348</v>
      </c>
      <c r="G338" s="107">
        <f>SUM(B338:F338)</f>
        <v>11096248</v>
      </c>
      <c r="H338" s="107"/>
      <c r="I338" s="107">
        <f>552*1000</f>
        <v>552000</v>
      </c>
      <c r="J338" s="107">
        <v>0</v>
      </c>
      <c r="K338" s="107">
        <f>1773*1000</f>
        <v>1773000</v>
      </c>
      <c r="L338" s="107">
        <f>1725*1000</f>
        <v>1725000</v>
      </c>
      <c r="M338" s="107">
        <f>2241*1000</f>
        <v>2241000</v>
      </c>
      <c r="N338" s="107">
        <f>854*1000</f>
        <v>854000</v>
      </c>
      <c r="O338" s="107">
        <f>1647*1000</f>
        <v>1647000</v>
      </c>
      <c r="P338" s="107">
        <f>3264*1000</f>
        <v>3264000</v>
      </c>
      <c r="Q338" s="107">
        <v>0</v>
      </c>
      <c r="R338" s="107">
        <f>SUM(I338:Q338)</f>
        <v>12056000</v>
      </c>
      <c r="S338" s="107">
        <f>7269*1000</f>
        <v>7269000</v>
      </c>
      <c r="T338" s="107"/>
      <c r="U338" s="107"/>
      <c r="V338" s="107"/>
      <c r="W338" s="107">
        <f>R338+G338+S338</f>
        <v>30421248</v>
      </c>
      <c r="X338" s="107"/>
    </row>
    <row r="339" spans="1:24" x14ac:dyDescent="0.2">
      <c r="A339" s="112" t="s">
        <v>42</v>
      </c>
      <c r="B339" s="107">
        <f t="shared" ref="B339:G339" si="119">B336+B338-B287</f>
        <v>0</v>
      </c>
      <c r="C339" s="107">
        <f t="shared" si="119"/>
        <v>37032000</v>
      </c>
      <c r="D339" s="107">
        <f t="shared" si="119"/>
        <v>26849900</v>
      </c>
      <c r="E339" s="107">
        <f t="shared" si="119"/>
        <v>17318112</v>
      </c>
      <c r="F339" s="107">
        <f t="shared" si="119"/>
        <v>25739348</v>
      </c>
      <c r="G339" s="107">
        <f t="shared" si="119"/>
        <v>106939360</v>
      </c>
      <c r="H339" s="107"/>
      <c r="I339" s="107">
        <f t="shared" ref="I339:W339" si="120">I336+I338-I287</f>
        <v>6384000</v>
      </c>
      <c r="J339" s="107">
        <f t="shared" si="120"/>
        <v>1692000</v>
      </c>
      <c r="K339" s="107">
        <f t="shared" si="120"/>
        <v>15786000</v>
      </c>
      <c r="L339" s="107">
        <f t="shared" si="120"/>
        <v>15402000</v>
      </c>
      <c r="M339" s="107">
        <f t="shared" si="120"/>
        <v>7614000</v>
      </c>
      <c r="N339" s="107">
        <f t="shared" si="120"/>
        <v>6530000</v>
      </c>
      <c r="O339" s="107">
        <f t="shared" si="120"/>
        <v>15906000</v>
      </c>
      <c r="P339" s="107">
        <f t="shared" si="120"/>
        <v>20202000</v>
      </c>
      <c r="Q339" s="107">
        <f t="shared" si="120"/>
        <v>4752000</v>
      </c>
      <c r="R339" s="107">
        <f t="shared" si="120"/>
        <v>94268000</v>
      </c>
      <c r="S339" s="107">
        <f t="shared" si="120"/>
        <v>22522000</v>
      </c>
      <c r="T339" s="107"/>
      <c r="U339" s="107"/>
      <c r="V339" s="107"/>
      <c r="W339" s="107">
        <f t="shared" si="120"/>
        <v>223729360</v>
      </c>
      <c r="X339" s="107">
        <f>X336+W338</f>
        <v>4252506596</v>
      </c>
    </row>
    <row r="340" spans="1:24" x14ac:dyDescent="0.2">
      <c r="H340" s="107"/>
      <c r="S340" s="107"/>
      <c r="T340" s="107"/>
      <c r="U340" s="107"/>
      <c r="V340" s="107"/>
      <c r="X340" s="107"/>
    </row>
    <row r="341" spans="1:24" x14ac:dyDescent="0.2">
      <c r="A341" s="112" t="s">
        <v>49</v>
      </c>
      <c r="B341" s="107">
        <v>0</v>
      </c>
      <c r="C341" s="107">
        <f>3288*1000</f>
        <v>3288000</v>
      </c>
      <c r="D341" s="107">
        <f>2868*1000</f>
        <v>2868000</v>
      </c>
      <c r="E341" s="107">
        <f>2367*1000</f>
        <v>2367000</v>
      </c>
      <c r="F341" s="107">
        <f>2544*1000</f>
        <v>2544000</v>
      </c>
      <c r="G341" s="107">
        <f>SUM(B341:F341)</f>
        <v>11067000</v>
      </c>
      <c r="H341" s="107"/>
      <c r="I341" s="107">
        <f>144*1000</f>
        <v>144000</v>
      </c>
      <c r="J341" s="107">
        <v>0</v>
      </c>
      <c r="K341" s="107">
        <f>1638*1000</f>
        <v>1638000</v>
      </c>
      <c r="L341" s="107">
        <f>1761*1000</f>
        <v>1761000</v>
      </c>
      <c r="M341" s="107">
        <f>2529*1000</f>
        <v>2529000</v>
      </c>
      <c r="N341" s="107">
        <f>742*1000</f>
        <v>742000</v>
      </c>
      <c r="O341" s="107">
        <f>1740*1000</f>
        <v>1740000</v>
      </c>
      <c r="P341" s="107">
        <f>3384*1000</f>
        <v>3384000</v>
      </c>
      <c r="Q341" s="107">
        <v>0</v>
      </c>
      <c r="R341" s="107">
        <f>SUM(I341:Q341)</f>
        <v>11938000</v>
      </c>
      <c r="S341" s="107">
        <f>7103*1000</f>
        <v>7103000</v>
      </c>
      <c r="T341" s="107"/>
      <c r="U341" s="107"/>
      <c r="V341" s="107"/>
      <c r="W341" s="107">
        <f>R341+G341+S341</f>
        <v>30108000</v>
      </c>
      <c r="X341" s="107"/>
    </row>
    <row r="342" spans="1:24" x14ac:dyDescent="0.2">
      <c r="A342" s="112" t="s">
        <v>42</v>
      </c>
      <c r="B342" s="107">
        <f t="shared" ref="B342:G342" si="121">B339+B341-B290</f>
        <v>0</v>
      </c>
      <c r="C342" s="107">
        <f t="shared" si="121"/>
        <v>36960000</v>
      </c>
      <c r="D342" s="107">
        <f t="shared" si="121"/>
        <v>24401900</v>
      </c>
      <c r="E342" s="107">
        <f t="shared" si="121"/>
        <v>17669112</v>
      </c>
      <c r="F342" s="107">
        <f t="shared" si="121"/>
        <v>25121348</v>
      </c>
      <c r="G342" s="107">
        <f t="shared" si="121"/>
        <v>104152360</v>
      </c>
      <c r="H342" s="107"/>
      <c r="I342" s="107">
        <f t="shared" ref="I342:W342" si="122">I339+I341-I290</f>
        <v>5544000</v>
      </c>
      <c r="J342" s="107">
        <f t="shared" si="122"/>
        <v>1692000</v>
      </c>
      <c r="K342" s="107">
        <f t="shared" si="122"/>
        <v>16251000</v>
      </c>
      <c r="L342" s="107">
        <f t="shared" si="122"/>
        <v>15867000</v>
      </c>
      <c r="M342" s="107">
        <f t="shared" si="122"/>
        <v>9900000</v>
      </c>
      <c r="N342" s="107">
        <f t="shared" si="122"/>
        <v>6400000</v>
      </c>
      <c r="O342" s="107">
        <f t="shared" si="122"/>
        <v>16143000</v>
      </c>
      <c r="P342" s="107">
        <f t="shared" si="122"/>
        <v>20562000</v>
      </c>
      <c r="Q342" s="107">
        <f t="shared" si="122"/>
        <v>4744000</v>
      </c>
      <c r="R342" s="107">
        <f t="shared" si="122"/>
        <v>97103000</v>
      </c>
      <c r="S342" s="107">
        <f t="shared" si="122"/>
        <v>24744000</v>
      </c>
      <c r="T342" s="107"/>
      <c r="U342" s="107"/>
      <c r="V342" s="107"/>
      <c r="W342" s="107">
        <f t="shared" si="122"/>
        <v>225999360</v>
      </c>
      <c r="X342" s="107">
        <f>X339+W341</f>
        <v>4282614596</v>
      </c>
    </row>
    <row r="343" spans="1:24" x14ac:dyDescent="0.2">
      <c r="H343" s="107"/>
      <c r="S343" s="107"/>
      <c r="T343" s="107"/>
      <c r="U343" s="107"/>
      <c r="V343" s="107"/>
      <c r="X343" s="107"/>
    </row>
    <row r="344" spans="1:24" x14ac:dyDescent="0.2">
      <c r="A344" s="112" t="s">
        <v>50</v>
      </c>
      <c r="B344" s="107">
        <v>0</v>
      </c>
      <c r="C344" s="107">
        <f>3318*1000</f>
        <v>3318000</v>
      </c>
      <c r="D344" s="107">
        <f>2700*1000</f>
        <v>2700000</v>
      </c>
      <c r="E344" s="107">
        <f>2610*1000</f>
        <v>2610000</v>
      </c>
      <c r="F344" s="107">
        <f>2406*1000</f>
        <v>2406000</v>
      </c>
      <c r="G344" s="107">
        <f>SUM(B344:F344)</f>
        <v>11034000</v>
      </c>
      <c r="H344" s="107"/>
      <c r="I344" s="107">
        <v>0</v>
      </c>
      <c r="J344" s="107">
        <v>0</v>
      </c>
      <c r="K344" s="107">
        <f>1563*1000</f>
        <v>1563000</v>
      </c>
      <c r="L344" s="107">
        <f>1539*1000</f>
        <v>1539000</v>
      </c>
      <c r="M344" s="107">
        <f>2340*1000</f>
        <v>2340000</v>
      </c>
      <c r="N344" s="107">
        <f>696*1000</f>
        <v>696000</v>
      </c>
      <c r="O344" s="107">
        <f>1455*1000</f>
        <v>1455000</v>
      </c>
      <c r="P344" s="107">
        <f>3312*1000</f>
        <v>3312000</v>
      </c>
      <c r="Q344" s="107">
        <v>0</v>
      </c>
      <c r="R344" s="107">
        <f>SUM(I344:Q344)</f>
        <v>10905000</v>
      </c>
      <c r="S344" s="107">
        <f>6747*1000</f>
        <v>6747000</v>
      </c>
      <c r="T344" s="107"/>
      <c r="U344" s="107"/>
      <c r="V344" s="107"/>
      <c r="W344" s="107">
        <f>R344+G344+S344</f>
        <v>28686000</v>
      </c>
      <c r="X344" s="107"/>
    </row>
    <row r="345" spans="1:24" x14ac:dyDescent="0.2">
      <c r="A345" s="112" t="s">
        <v>42</v>
      </c>
      <c r="B345" s="107">
        <f t="shared" ref="B345:G345" si="123">B342+B344-B293</f>
        <v>0</v>
      </c>
      <c r="C345" s="107">
        <f t="shared" si="123"/>
        <v>37206000</v>
      </c>
      <c r="D345" s="107">
        <f t="shared" si="123"/>
        <v>22145900</v>
      </c>
      <c r="E345" s="107">
        <f t="shared" si="123"/>
        <v>18218112</v>
      </c>
      <c r="F345" s="107">
        <f t="shared" si="123"/>
        <v>24797348</v>
      </c>
      <c r="G345" s="107">
        <f t="shared" si="123"/>
        <v>102367360</v>
      </c>
      <c r="H345" s="107"/>
      <c r="I345" s="107">
        <f t="shared" ref="I345:W345" si="124">I342+I344-I293</f>
        <v>5544000</v>
      </c>
      <c r="J345" s="107">
        <f t="shared" si="124"/>
        <v>1692000</v>
      </c>
      <c r="K345" s="107">
        <f t="shared" si="124"/>
        <v>16506000</v>
      </c>
      <c r="L345" s="107">
        <f t="shared" si="124"/>
        <v>15999000</v>
      </c>
      <c r="M345" s="107">
        <f t="shared" si="124"/>
        <v>11115000</v>
      </c>
      <c r="N345" s="107">
        <f t="shared" si="124"/>
        <v>6260000</v>
      </c>
      <c r="O345" s="107">
        <f t="shared" si="124"/>
        <v>16206000</v>
      </c>
      <c r="P345" s="107">
        <f t="shared" si="124"/>
        <v>21162000</v>
      </c>
      <c r="Q345" s="107">
        <f t="shared" si="124"/>
        <v>4744000</v>
      </c>
      <c r="R345" s="107">
        <f t="shared" si="124"/>
        <v>99228000</v>
      </c>
      <c r="S345" s="107">
        <f t="shared" si="124"/>
        <v>31116000</v>
      </c>
      <c r="T345" s="107"/>
      <c r="U345" s="107"/>
      <c r="V345" s="107"/>
      <c r="W345" s="107">
        <f t="shared" si="124"/>
        <v>232711360</v>
      </c>
      <c r="X345" s="107">
        <f>X342+W344</f>
        <v>4311300596</v>
      </c>
    </row>
    <row r="346" spans="1:24" x14ac:dyDescent="0.2">
      <c r="H346" s="107"/>
      <c r="S346" s="107"/>
      <c r="T346" s="107"/>
      <c r="U346" s="107"/>
      <c r="V346" s="107"/>
      <c r="X346" s="107"/>
    </row>
    <row r="347" spans="1:24" x14ac:dyDescent="0.2">
      <c r="A347" s="112" t="s">
        <v>51</v>
      </c>
      <c r="B347" s="107">
        <v>0</v>
      </c>
      <c r="C347" s="107">
        <f>2970*1000</f>
        <v>2970000</v>
      </c>
      <c r="D347" s="107">
        <f>2904*1000</f>
        <v>2904000</v>
      </c>
      <c r="E347" s="107">
        <v>0</v>
      </c>
      <c r="F347" s="107">
        <f>2406*1000</f>
        <v>2406000</v>
      </c>
      <c r="G347" s="107">
        <f>SUM(B347:F347)</f>
        <v>8280000</v>
      </c>
      <c r="H347" s="107"/>
      <c r="I347" s="107">
        <f>504*1000</f>
        <v>504000</v>
      </c>
      <c r="J347" s="107">
        <v>0</v>
      </c>
      <c r="K347" s="107">
        <f>1362*1000</f>
        <v>1362000</v>
      </c>
      <c r="L347" s="107">
        <f>1311*1000</f>
        <v>1311000</v>
      </c>
      <c r="M347" s="107">
        <v>0</v>
      </c>
      <c r="N347" s="107">
        <f>684*1000</f>
        <v>684000</v>
      </c>
      <c r="O347" s="107">
        <f>1656*1000</f>
        <v>1656000</v>
      </c>
      <c r="P347" s="107">
        <f>3336*1000</f>
        <v>3336000</v>
      </c>
      <c r="Q347" s="107">
        <v>0</v>
      </c>
      <c r="R347" s="107">
        <f>SUM(I347:Q347)</f>
        <v>8853000</v>
      </c>
      <c r="S347" s="107">
        <v>0</v>
      </c>
      <c r="T347" s="107"/>
      <c r="U347" s="107"/>
      <c r="V347" s="107"/>
      <c r="W347" s="107">
        <f>R347+G347</f>
        <v>17133000</v>
      </c>
      <c r="X347" s="107"/>
    </row>
    <row r="348" spans="1:24" x14ac:dyDescent="0.2">
      <c r="A348" s="112" t="s">
        <v>42</v>
      </c>
      <c r="B348" s="107">
        <f t="shared" ref="B348:G348" si="125">B345+B347-B296</f>
        <v>0</v>
      </c>
      <c r="C348" s="107">
        <f t="shared" si="125"/>
        <v>37716000</v>
      </c>
      <c r="D348" s="107">
        <f t="shared" si="125"/>
        <v>21401900</v>
      </c>
      <c r="E348" s="107">
        <f t="shared" si="125"/>
        <v>17939112</v>
      </c>
      <c r="F348" s="107">
        <f t="shared" si="125"/>
        <v>24947348</v>
      </c>
      <c r="G348" s="107">
        <f t="shared" si="125"/>
        <v>102004360</v>
      </c>
      <c r="H348" s="107"/>
      <c r="I348" s="107">
        <f t="shared" ref="I348:W348" si="126">I345+I347-I296</f>
        <v>3684000</v>
      </c>
      <c r="J348" s="107">
        <f t="shared" si="126"/>
        <v>1071000</v>
      </c>
      <c r="K348" s="107">
        <f t="shared" si="126"/>
        <v>17754000</v>
      </c>
      <c r="L348" s="107">
        <f t="shared" si="126"/>
        <v>17178000</v>
      </c>
      <c r="M348" s="107">
        <f t="shared" si="126"/>
        <v>11115000</v>
      </c>
      <c r="N348" s="107">
        <f t="shared" si="126"/>
        <v>6038000</v>
      </c>
      <c r="O348" s="107">
        <f t="shared" si="126"/>
        <v>16557000</v>
      </c>
      <c r="P348" s="107">
        <f t="shared" si="126"/>
        <v>21558000</v>
      </c>
      <c r="Q348" s="107">
        <f t="shared" si="126"/>
        <v>2784000</v>
      </c>
      <c r="R348" s="107">
        <f t="shared" si="126"/>
        <v>97739000</v>
      </c>
      <c r="S348" s="107">
        <f t="shared" si="126"/>
        <v>31116000</v>
      </c>
      <c r="T348" s="107"/>
      <c r="U348" s="107"/>
      <c r="V348" s="107"/>
      <c r="W348" s="107">
        <f t="shared" si="126"/>
        <v>230859360</v>
      </c>
      <c r="X348" s="107">
        <f>X345+W347</f>
        <v>4328433596</v>
      </c>
    </row>
    <row r="349" spans="1:24" x14ac:dyDescent="0.2">
      <c r="H349" s="107"/>
      <c r="S349" s="107"/>
      <c r="T349" s="107"/>
      <c r="U349" s="107"/>
      <c r="V349" s="107"/>
      <c r="X349" s="107"/>
    </row>
    <row r="350" spans="1:24" x14ac:dyDescent="0.2">
      <c r="A350" s="112" t="s">
        <v>52</v>
      </c>
      <c r="B350" s="107">
        <v>33600</v>
      </c>
      <c r="C350" s="107">
        <f>2640*1000</f>
        <v>2640000</v>
      </c>
      <c r="D350" s="107">
        <f>2136*1000</f>
        <v>2136000</v>
      </c>
      <c r="E350" s="107">
        <v>0</v>
      </c>
      <c r="F350" s="107">
        <v>3072000</v>
      </c>
      <c r="G350" s="107">
        <f>SUM(B350:F350)</f>
        <v>7881600</v>
      </c>
      <c r="H350" s="107"/>
      <c r="I350" s="107">
        <v>0</v>
      </c>
      <c r="J350" s="107">
        <v>0</v>
      </c>
      <c r="K350" s="107">
        <f>1863*1000</f>
        <v>1863000</v>
      </c>
      <c r="L350" s="107">
        <f>1803*1000</f>
        <v>1803000</v>
      </c>
      <c r="M350" s="107">
        <v>0</v>
      </c>
      <c r="N350" s="107">
        <f>686*1000</f>
        <v>686000</v>
      </c>
      <c r="O350" s="107">
        <f>1611*1000</f>
        <v>1611000</v>
      </c>
      <c r="P350" s="107">
        <f>2922*1000</f>
        <v>2922000</v>
      </c>
      <c r="Q350" s="107">
        <v>0</v>
      </c>
      <c r="R350" s="107">
        <f>SUM(I350:Q350)</f>
        <v>8885000</v>
      </c>
      <c r="S350" s="107">
        <v>0</v>
      </c>
      <c r="T350" s="107"/>
      <c r="U350" s="107"/>
      <c r="V350" s="107"/>
      <c r="W350" s="107">
        <f>R350+G350</f>
        <v>16766600</v>
      </c>
      <c r="X350" s="107"/>
    </row>
    <row r="351" spans="1:24" x14ac:dyDescent="0.2">
      <c r="A351" s="112" t="s">
        <v>42</v>
      </c>
      <c r="B351" s="107">
        <f t="shared" ref="B351:G351" si="127">B348+B350-B299</f>
        <v>33600</v>
      </c>
      <c r="C351" s="107">
        <f t="shared" si="127"/>
        <v>38316000</v>
      </c>
      <c r="D351" s="107">
        <f t="shared" si="127"/>
        <v>20549900</v>
      </c>
      <c r="E351" s="107">
        <f t="shared" si="127"/>
        <v>16994112</v>
      </c>
      <c r="F351" s="107">
        <f t="shared" si="127"/>
        <v>25787348</v>
      </c>
      <c r="G351" s="107">
        <f t="shared" si="127"/>
        <v>101680960</v>
      </c>
      <c r="H351" s="107"/>
      <c r="I351" s="107">
        <f t="shared" ref="I351:W351" si="128">I348+I350-I299</f>
        <v>2760000</v>
      </c>
      <c r="J351" s="107">
        <f t="shared" si="128"/>
        <v>1071000</v>
      </c>
      <c r="K351" s="107">
        <f t="shared" si="128"/>
        <v>19617000</v>
      </c>
      <c r="L351" s="107">
        <f t="shared" si="128"/>
        <v>18981000</v>
      </c>
      <c r="M351" s="107">
        <f t="shared" si="128"/>
        <v>11115000</v>
      </c>
      <c r="N351" s="107">
        <f t="shared" si="128"/>
        <v>6384000</v>
      </c>
      <c r="O351" s="107">
        <f t="shared" si="128"/>
        <v>16827000</v>
      </c>
      <c r="P351" s="107">
        <f t="shared" si="128"/>
        <v>23442000</v>
      </c>
      <c r="Q351" s="107">
        <f t="shared" si="128"/>
        <v>536000</v>
      </c>
      <c r="R351" s="107">
        <f t="shared" si="128"/>
        <v>100733000</v>
      </c>
      <c r="S351" s="107">
        <f t="shared" si="128"/>
        <v>31116000</v>
      </c>
      <c r="T351" s="107"/>
      <c r="U351" s="107"/>
      <c r="V351" s="107"/>
      <c r="W351" s="107">
        <f t="shared" si="128"/>
        <v>233529960</v>
      </c>
      <c r="X351" s="107">
        <f>X348+W350</f>
        <v>4345200196</v>
      </c>
    </row>
    <row r="352" spans="1:24" x14ac:dyDescent="0.2">
      <c r="H352" s="107"/>
      <c r="S352" s="107"/>
      <c r="T352" s="107"/>
      <c r="U352" s="107"/>
      <c r="V352" s="107"/>
      <c r="X352" s="107"/>
    </row>
    <row r="353" spans="1:25" x14ac:dyDescent="0.2">
      <c r="A353" s="112" t="s">
        <v>53</v>
      </c>
      <c r="B353" s="107">
        <v>235200</v>
      </c>
      <c r="C353" s="107">
        <f>1944*1000</f>
        <v>1944000</v>
      </c>
      <c r="D353" s="107">
        <f>2340*1000</f>
        <v>2340000</v>
      </c>
      <c r="E353" s="107">
        <f>1854*1000</f>
        <v>1854000</v>
      </c>
      <c r="F353" s="107">
        <f>2568*1000</f>
        <v>2568000</v>
      </c>
      <c r="G353" s="107">
        <f>SUM(B353:F353)</f>
        <v>8941200</v>
      </c>
      <c r="H353" s="107"/>
      <c r="I353" s="107">
        <f>1056*1000</f>
        <v>1056000</v>
      </c>
      <c r="J353" s="107">
        <v>0</v>
      </c>
      <c r="K353" s="107">
        <f>1398*1000</f>
        <v>1398000</v>
      </c>
      <c r="L353" s="107">
        <f>1362*1000</f>
        <v>1362000</v>
      </c>
      <c r="M353" s="107">
        <v>0</v>
      </c>
      <c r="N353" s="107">
        <f>650*1000</f>
        <v>650000</v>
      </c>
      <c r="O353" s="107">
        <f>942*1000</f>
        <v>942000</v>
      </c>
      <c r="P353" s="107">
        <f>1686*1000</f>
        <v>1686000</v>
      </c>
      <c r="Q353" s="107">
        <v>0</v>
      </c>
      <c r="R353" s="107">
        <f>SUM(I353:Q353)</f>
        <v>7094000</v>
      </c>
      <c r="S353" s="107">
        <v>0</v>
      </c>
      <c r="T353" s="107"/>
      <c r="U353" s="107"/>
      <c r="V353" s="107"/>
      <c r="W353" s="107">
        <f>R353+G353</f>
        <v>16035200</v>
      </c>
      <c r="X353" s="107"/>
    </row>
    <row r="354" spans="1:25" x14ac:dyDescent="0.2">
      <c r="A354" s="112" t="s">
        <v>42</v>
      </c>
      <c r="B354" s="107">
        <f t="shared" ref="B354:G354" si="129">B351+B353-B302</f>
        <v>268800</v>
      </c>
      <c r="C354" s="107">
        <f t="shared" si="129"/>
        <v>37776000</v>
      </c>
      <c r="D354" s="107">
        <f t="shared" si="129"/>
        <v>20501900</v>
      </c>
      <c r="E354" s="107">
        <f t="shared" si="129"/>
        <v>15761112</v>
      </c>
      <c r="F354" s="107">
        <f t="shared" si="129"/>
        <v>26753348</v>
      </c>
      <c r="G354" s="107">
        <f t="shared" si="129"/>
        <v>101061160</v>
      </c>
      <c r="H354" s="107"/>
      <c r="I354" s="107">
        <f t="shared" ref="I354:W354" si="130">I351+I353-I302</f>
        <v>2256000</v>
      </c>
      <c r="J354" s="107">
        <f t="shared" si="130"/>
        <v>0</v>
      </c>
      <c r="K354" s="107">
        <f t="shared" si="130"/>
        <v>19305000</v>
      </c>
      <c r="L354" s="107">
        <f t="shared" si="130"/>
        <v>18684000</v>
      </c>
      <c r="M354" s="107">
        <f t="shared" si="130"/>
        <v>11115000</v>
      </c>
      <c r="N354" s="107">
        <f t="shared" si="130"/>
        <v>6490000</v>
      </c>
      <c r="O354" s="107">
        <f t="shared" si="130"/>
        <v>16479000</v>
      </c>
      <c r="P354" s="107">
        <f t="shared" si="130"/>
        <v>24612000</v>
      </c>
      <c r="Q354" s="107">
        <f t="shared" si="130"/>
        <v>4000</v>
      </c>
      <c r="R354" s="107">
        <f t="shared" si="130"/>
        <v>98945000</v>
      </c>
      <c r="S354" s="107">
        <f t="shared" si="130"/>
        <v>31116000</v>
      </c>
      <c r="T354" s="107"/>
      <c r="U354" s="107"/>
      <c r="V354" s="107"/>
      <c r="W354" s="107">
        <f t="shared" si="130"/>
        <v>231122160</v>
      </c>
      <c r="X354" s="107">
        <f>X351+W353</f>
        <v>4361235396</v>
      </c>
    </row>
    <row r="355" spans="1:25" x14ac:dyDescent="0.2">
      <c r="H355" s="107"/>
      <c r="X355" s="107"/>
    </row>
    <row r="356" spans="1:25" x14ac:dyDescent="0.2">
      <c r="H356" s="107"/>
      <c r="W356" s="107"/>
    </row>
    <row r="357" spans="1:25" x14ac:dyDescent="0.2">
      <c r="W357" s="107"/>
    </row>
    <row r="358" spans="1:25" x14ac:dyDescent="0.2">
      <c r="B358" s="107"/>
      <c r="C358" s="107"/>
      <c r="D358" s="107"/>
      <c r="E358" s="107"/>
      <c r="F358" s="107"/>
      <c r="G358" s="107"/>
      <c r="H358" s="107"/>
      <c r="I358" s="107"/>
      <c r="J358" s="107"/>
      <c r="K358" s="107"/>
      <c r="L358" s="107"/>
      <c r="M358" s="107"/>
      <c r="N358" s="107"/>
      <c r="O358" s="107"/>
      <c r="P358" s="107"/>
      <c r="Q358" s="107"/>
      <c r="R358" s="107"/>
      <c r="S358" s="107"/>
      <c r="T358" s="107"/>
      <c r="U358" s="107"/>
      <c r="V358" s="107"/>
      <c r="W358" s="107"/>
      <c r="X358" s="107"/>
      <c r="Y358" s="107"/>
    </row>
    <row r="359" spans="1:25" x14ac:dyDescent="0.2">
      <c r="D359" s="108" t="s">
        <v>106</v>
      </c>
      <c r="L359" s="109">
        <f ca="1">NOW()</f>
        <v>42312.648458217591</v>
      </c>
      <c r="M359" s="110">
        <f ca="1">NOW()</f>
        <v>42312.648458217591</v>
      </c>
      <c r="O359" s="108" t="s">
        <v>100</v>
      </c>
      <c r="W359" s="107"/>
      <c r="Y359" s="107"/>
    </row>
    <row r="360" spans="1:25" x14ac:dyDescent="0.2">
      <c r="D360" s="108" t="s">
        <v>2</v>
      </c>
      <c r="F360" s="108" t="s">
        <v>2</v>
      </c>
      <c r="H360" s="108" t="s">
        <v>3</v>
      </c>
      <c r="I360" s="108" t="s">
        <v>3</v>
      </c>
      <c r="J360" s="108" t="s">
        <v>4</v>
      </c>
      <c r="W360" s="107"/>
      <c r="X360" s="107"/>
      <c r="Y360" s="107"/>
    </row>
    <row r="361" spans="1:25" x14ac:dyDescent="0.2">
      <c r="F361" s="108" t="s">
        <v>93</v>
      </c>
      <c r="W361" s="107"/>
      <c r="X361" s="107"/>
      <c r="Y361" s="107"/>
    </row>
    <row r="362" spans="1:25" x14ac:dyDescent="0.2">
      <c r="X362" s="111" t="s">
        <v>7</v>
      </c>
      <c r="Y362" s="107"/>
    </row>
    <row r="363" spans="1:25" x14ac:dyDescent="0.2">
      <c r="B363" s="108" t="s">
        <v>94</v>
      </c>
      <c r="I363" s="108" t="s">
        <v>95</v>
      </c>
      <c r="X363" s="111" t="s">
        <v>10</v>
      </c>
      <c r="Y363" s="107"/>
    </row>
    <row r="364" spans="1:25" x14ac:dyDescent="0.2">
      <c r="B364" s="112" t="s">
        <v>11</v>
      </c>
      <c r="C364" s="112" t="s">
        <v>12</v>
      </c>
      <c r="D364" s="112" t="s">
        <v>13</v>
      </c>
      <c r="E364" s="112" t="s">
        <v>14</v>
      </c>
      <c r="F364" s="112" t="s">
        <v>15</v>
      </c>
      <c r="G364" s="112" t="s">
        <v>16</v>
      </c>
      <c r="I364" s="112" t="s">
        <v>17</v>
      </c>
      <c r="N364" s="112" t="s">
        <v>18</v>
      </c>
      <c r="O364" s="112" t="s">
        <v>19</v>
      </c>
      <c r="P364" s="112" t="s">
        <v>20</v>
      </c>
      <c r="Q364" s="112" t="s">
        <v>21</v>
      </c>
      <c r="R364" s="112" t="s">
        <v>16</v>
      </c>
      <c r="S364" s="112" t="s">
        <v>102</v>
      </c>
      <c r="T364" s="112"/>
      <c r="U364" s="112"/>
      <c r="V364" s="112"/>
      <c r="W364" s="112" t="s">
        <v>7</v>
      </c>
      <c r="X364" s="111" t="s">
        <v>22</v>
      </c>
      <c r="Y364" s="107"/>
    </row>
    <row r="365" spans="1:25" x14ac:dyDescent="0.2">
      <c r="B365" s="112" t="s">
        <v>23</v>
      </c>
      <c r="C365" s="112" t="s">
        <v>24</v>
      </c>
      <c r="D365" s="112" t="s">
        <v>25</v>
      </c>
      <c r="E365" s="112" t="s">
        <v>26</v>
      </c>
      <c r="F365" s="112" t="s">
        <v>27</v>
      </c>
      <c r="G365" s="112" t="s">
        <v>28</v>
      </c>
      <c r="I365" s="112" t="s">
        <v>29</v>
      </c>
      <c r="J365" s="112" t="s">
        <v>30</v>
      </c>
      <c r="K365" s="112" t="s">
        <v>31</v>
      </c>
      <c r="L365" s="112" t="s">
        <v>32</v>
      </c>
      <c r="M365" s="112" t="s">
        <v>33</v>
      </c>
      <c r="N365" s="112" t="s">
        <v>34</v>
      </c>
      <c r="O365" s="112" t="s">
        <v>35</v>
      </c>
      <c r="P365" s="112" t="s">
        <v>36</v>
      </c>
      <c r="Q365" s="112" t="s">
        <v>37</v>
      </c>
      <c r="R365" s="112" t="s">
        <v>28</v>
      </c>
      <c r="S365" s="112" t="s">
        <v>103</v>
      </c>
      <c r="T365" s="112"/>
      <c r="U365" s="112"/>
      <c r="V365" s="112"/>
      <c r="W365" s="112" t="s">
        <v>10</v>
      </c>
      <c r="X365" s="111" t="s">
        <v>38</v>
      </c>
      <c r="Y365" s="107"/>
    </row>
    <row r="366" spans="1:25" x14ac:dyDescent="0.2">
      <c r="B366" s="112" t="s">
        <v>39</v>
      </c>
      <c r="C366" s="112" t="s">
        <v>40</v>
      </c>
      <c r="D366" s="112" t="s">
        <v>40</v>
      </c>
      <c r="E366" s="112" t="s">
        <v>40</v>
      </c>
      <c r="F366" s="112" t="s">
        <v>40</v>
      </c>
      <c r="G366" s="112" t="s">
        <v>40</v>
      </c>
      <c r="I366" s="112" t="s">
        <v>40</v>
      </c>
      <c r="J366" s="112" t="s">
        <v>40</v>
      </c>
      <c r="K366" s="112" t="s">
        <v>40</v>
      </c>
      <c r="L366" s="112" t="s">
        <v>40</v>
      </c>
      <c r="M366" s="112" t="s">
        <v>40</v>
      </c>
      <c r="N366" s="112" t="s">
        <v>40</v>
      </c>
      <c r="O366" s="112" t="s">
        <v>40</v>
      </c>
      <c r="P366" s="112" t="s">
        <v>40</v>
      </c>
      <c r="Q366" s="112" t="s">
        <v>40</v>
      </c>
      <c r="R366" s="112" t="s">
        <v>40</v>
      </c>
      <c r="S366" s="112" t="s">
        <v>40</v>
      </c>
      <c r="T366" s="112"/>
      <c r="U366" s="112"/>
      <c r="V366" s="112"/>
      <c r="W366" s="112" t="s">
        <v>40</v>
      </c>
      <c r="X366" s="111" t="s">
        <v>40</v>
      </c>
      <c r="Y366" s="107"/>
    </row>
    <row r="367" spans="1:25" x14ac:dyDescent="0.2">
      <c r="A367" s="112" t="s">
        <v>41</v>
      </c>
      <c r="B367" s="107">
        <v>0</v>
      </c>
      <c r="C367" s="107">
        <v>2556000</v>
      </c>
      <c r="D367" s="107">
        <v>2520000</v>
      </c>
      <c r="E367" s="107">
        <v>0</v>
      </c>
      <c r="F367" s="107">
        <v>2274000</v>
      </c>
      <c r="G367" s="107">
        <f>SUM(B367:F367)</f>
        <v>7350000</v>
      </c>
      <c r="H367" s="107"/>
      <c r="I367" s="107">
        <v>0</v>
      </c>
      <c r="J367" s="107">
        <v>0</v>
      </c>
      <c r="K367" s="107">
        <v>1881000</v>
      </c>
      <c r="L367" s="107">
        <v>1815000</v>
      </c>
      <c r="M367" s="107">
        <v>0</v>
      </c>
      <c r="N367" s="107">
        <v>656000</v>
      </c>
      <c r="O367" s="107">
        <v>1062000</v>
      </c>
      <c r="P367" s="107">
        <v>2088000</v>
      </c>
      <c r="Q367" s="107">
        <v>0</v>
      </c>
      <c r="R367" s="107">
        <f>SUM(I367:Q367)</f>
        <v>7502000</v>
      </c>
      <c r="S367" s="113">
        <v>0</v>
      </c>
      <c r="T367" s="113"/>
      <c r="U367" s="113"/>
      <c r="V367" s="113"/>
      <c r="W367" s="107">
        <f>R367+G367</f>
        <v>14852000</v>
      </c>
      <c r="X367" s="107"/>
      <c r="Y367" s="107"/>
    </row>
    <row r="368" spans="1:25" x14ac:dyDescent="0.2">
      <c r="A368" s="112" t="s">
        <v>42</v>
      </c>
      <c r="B368" s="107">
        <f t="shared" ref="B368:G368" si="131">B354+B367-B320</f>
        <v>268800</v>
      </c>
      <c r="C368" s="107">
        <f t="shared" si="131"/>
        <v>37038000</v>
      </c>
      <c r="D368" s="107">
        <f t="shared" si="131"/>
        <v>22193900</v>
      </c>
      <c r="E368" s="107">
        <f t="shared" si="131"/>
        <v>15761112</v>
      </c>
      <c r="F368" s="107">
        <f t="shared" si="131"/>
        <v>28181348</v>
      </c>
      <c r="G368" s="107">
        <f t="shared" si="131"/>
        <v>103443160</v>
      </c>
      <c r="H368" s="107"/>
      <c r="I368" s="107">
        <f t="shared" ref="I368:W368" si="132">I354+I367-I320</f>
        <v>2256000</v>
      </c>
      <c r="J368" s="107">
        <f t="shared" si="132"/>
        <v>0</v>
      </c>
      <c r="K368" s="107">
        <f t="shared" si="132"/>
        <v>19617000</v>
      </c>
      <c r="L368" s="107">
        <f t="shared" si="132"/>
        <v>19065000</v>
      </c>
      <c r="M368" s="107">
        <f t="shared" si="132"/>
        <v>11115000</v>
      </c>
      <c r="N368" s="107">
        <f t="shared" si="132"/>
        <v>7146000</v>
      </c>
      <c r="O368" s="107">
        <f t="shared" si="132"/>
        <v>16770000</v>
      </c>
      <c r="P368" s="107">
        <f t="shared" si="132"/>
        <v>25788000</v>
      </c>
      <c r="Q368" s="107">
        <f t="shared" si="132"/>
        <v>4000</v>
      </c>
      <c r="R368" s="107">
        <f t="shared" si="132"/>
        <v>101761000</v>
      </c>
      <c r="S368" s="107">
        <f t="shared" si="132"/>
        <v>31116000</v>
      </c>
      <c r="T368" s="107"/>
      <c r="U368" s="107"/>
      <c r="V368" s="107"/>
      <c r="W368" s="107">
        <f t="shared" si="132"/>
        <v>236320160</v>
      </c>
      <c r="X368" s="107">
        <f>X354+W367</f>
        <v>4376087396</v>
      </c>
      <c r="Y368" s="107"/>
    </row>
    <row r="369" spans="1:25" x14ac:dyDescent="0.2">
      <c r="H369" s="107"/>
      <c r="S369" s="107"/>
      <c r="T369" s="107"/>
      <c r="U369" s="107"/>
      <c r="V369" s="107"/>
      <c r="X369" s="107"/>
      <c r="Y369" s="107"/>
    </row>
    <row r="370" spans="1:25" x14ac:dyDescent="0.2">
      <c r="A370" s="112" t="s">
        <v>43</v>
      </c>
      <c r="B370" s="107">
        <v>0</v>
      </c>
      <c r="C370" s="107">
        <v>2532000</v>
      </c>
      <c r="D370" s="107">
        <v>1644000</v>
      </c>
      <c r="E370" s="107">
        <v>0</v>
      </c>
      <c r="F370" s="107">
        <v>1572000</v>
      </c>
      <c r="G370" s="107">
        <f>SUM(B370:F370)</f>
        <v>5748000</v>
      </c>
      <c r="H370" s="107"/>
      <c r="I370" s="107">
        <v>0</v>
      </c>
      <c r="J370" s="107">
        <v>0</v>
      </c>
      <c r="K370" s="107">
        <v>1737000</v>
      </c>
      <c r="L370" s="107">
        <v>1680000</v>
      </c>
      <c r="M370" s="107">
        <v>0</v>
      </c>
      <c r="N370" s="107">
        <v>520000</v>
      </c>
      <c r="O370" s="107">
        <v>1440000</v>
      </c>
      <c r="P370" s="107">
        <v>1350000</v>
      </c>
      <c r="Q370" s="107">
        <v>0</v>
      </c>
      <c r="R370" s="107">
        <f>SUM(I370:Q370)</f>
        <v>6727000</v>
      </c>
      <c r="S370" s="113">
        <v>0</v>
      </c>
      <c r="T370" s="113"/>
      <c r="U370" s="113"/>
      <c r="V370" s="113"/>
      <c r="W370" s="107">
        <f>R370+G370</f>
        <v>12475000</v>
      </c>
      <c r="X370" s="107"/>
      <c r="Y370" s="107"/>
    </row>
    <row r="371" spans="1:25" x14ac:dyDescent="0.2">
      <c r="A371" s="112" t="s">
        <v>42</v>
      </c>
      <c r="B371" s="107">
        <f t="shared" ref="B371:G371" si="133">B368+B370-B323</f>
        <v>268800</v>
      </c>
      <c r="C371" s="107">
        <f t="shared" si="133"/>
        <v>36366000</v>
      </c>
      <c r="D371" s="107">
        <f t="shared" si="133"/>
        <v>23693900</v>
      </c>
      <c r="E371" s="107">
        <f t="shared" si="133"/>
        <v>15761112</v>
      </c>
      <c r="F371" s="107">
        <f t="shared" si="133"/>
        <v>28799348</v>
      </c>
      <c r="G371" s="107">
        <f t="shared" si="133"/>
        <v>104889160</v>
      </c>
      <c r="H371" s="107"/>
      <c r="I371" s="107">
        <f t="shared" ref="I371:W371" si="134">I368+I370-I323</f>
        <v>2256000</v>
      </c>
      <c r="J371" s="107">
        <f t="shared" si="134"/>
        <v>0</v>
      </c>
      <c r="K371" s="107">
        <f t="shared" si="134"/>
        <v>19899000</v>
      </c>
      <c r="L371" s="107">
        <f t="shared" si="134"/>
        <v>19371000</v>
      </c>
      <c r="M371" s="107">
        <f t="shared" si="134"/>
        <v>11115000</v>
      </c>
      <c r="N371" s="107">
        <f t="shared" si="134"/>
        <v>7666000</v>
      </c>
      <c r="O371" s="107">
        <f t="shared" si="134"/>
        <v>17052000</v>
      </c>
      <c r="P371" s="107">
        <f t="shared" si="134"/>
        <v>26058000</v>
      </c>
      <c r="Q371" s="107">
        <f t="shared" si="134"/>
        <v>4000</v>
      </c>
      <c r="R371" s="107">
        <f t="shared" si="134"/>
        <v>103421000</v>
      </c>
      <c r="S371" s="107">
        <f t="shared" si="134"/>
        <v>31116000</v>
      </c>
      <c r="T371" s="107"/>
      <c r="U371" s="107"/>
      <c r="V371" s="107"/>
      <c r="W371" s="107">
        <f t="shared" si="134"/>
        <v>239426160</v>
      </c>
      <c r="X371" s="107">
        <f>X368+W370</f>
        <v>4388562396</v>
      </c>
      <c r="Y371" s="107"/>
    </row>
    <row r="372" spans="1:25" x14ac:dyDescent="0.2">
      <c r="B372" s="107"/>
      <c r="C372" s="107"/>
      <c r="D372" s="107"/>
      <c r="E372" s="107"/>
      <c r="F372" s="107"/>
      <c r="G372" s="107"/>
      <c r="H372" s="107"/>
      <c r="I372" s="107"/>
      <c r="J372" s="107"/>
      <c r="K372" s="107"/>
      <c r="L372" s="107"/>
      <c r="M372" s="107"/>
      <c r="N372" s="107"/>
      <c r="O372" s="107"/>
      <c r="P372" s="107"/>
      <c r="Q372" s="107"/>
      <c r="R372" s="107"/>
      <c r="S372" s="107"/>
      <c r="T372" s="107"/>
      <c r="U372" s="107"/>
      <c r="V372" s="107"/>
      <c r="W372" s="107"/>
      <c r="X372" s="107"/>
      <c r="Y372" s="107"/>
    </row>
    <row r="373" spans="1:25" x14ac:dyDescent="0.2">
      <c r="A373" s="112" t="s">
        <v>44</v>
      </c>
      <c r="B373" s="107">
        <v>0</v>
      </c>
      <c r="C373" s="107">
        <v>3072000</v>
      </c>
      <c r="D373" s="107">
        <v>1872000</v>
      </c>
      <c r="E373" s="107">
        <v>0</v>
      </c>
      <c r="F373" s="107">
        <v>1764000</v>
      </c>
      <c r="G373" s="107">
        <f>SUM(B373:F373)</f>
        <v>6708000</v>
      </c>
      <c r="H373" s="107"/>
      <c r="I373" s="107">
        <v>0</v>
      </c>
      <c r="J373" s="107">
        <v>0</v>
      </c>
      <c r="K373" s="107">
        <v>1725000</v>
      </c>
      <c r="L373" s="107">
        <v>1815000</v>
      </c>
      <c r="M373" s="107">
        <v>0</v>
      </c>
      <c r="N373" s="107">
        <v>682000</v>
      </c>
      <c r="O373" s="107">
        <v>1416000</v>
      </c>
      <c r="P373" s="107">
        <v>1230000</v>
      </c>
      <c r="Q373" s="107">
        <v>0</v>
      </c>
      <c r="R373" s="107">
        <f>SUM(I373:Q373)</f>
        <v>6868000</v>
      </c>
      <c r="S373" s="113">
        <v>0</v>
      </c>
      <c r="T373" s="113"/>
      <c r="U373" s="113"/>
      <c r="V373" s="113"/>
      <c r="W373" s="107">
        <f>R373+G373</f>
        <v>13576000</v>
      </c>
      <c r="X373" s="107"/>
      <c r="Y373" s="107"/>
    </row>
    <row r="374" spans="1:25" x14ac:dyDescent="0.2">
      <c r="A374" s="112" t="s">
        <v>42</v>
      </c>
      <c r="B374" s="107">
        <f t="shared" ref="B374:G374" si="135">B371+B373-B326</f>
        <v>268800</v>
      </c>
      <c r="C374" s="107">
        <f t="shared" si="135"/>
        <v>35976000</v>
      </c>
      <c r="D374" s="107">
        <f t="shared" si="135"/>
        <v>25565900</v>
      </c>
      <c r="E374" s="107">
        <f t="shared" si="135"/>
        <v>15761112</v>
      </c>
      <c r="F374" s="107">
        <f t="shared" si="135"/>
        <v>29219348</v>
      </c>
      <c r="G374" s="107">
        <f t="shared" si="135"/>
        <v>106791160</v>
      </c>
      <c r="H374" s="107"/>
      <c r="I374" s="107">
        <f t="shared" ref="I374:W374" si="136">I371+I373-I326</f>
        <v>2256000</v>
      </c>
      <c r="J374" s="107">
        <f t="shared" si="136"/>
        <v>0</v>
      </c>
      <c r="K374" s="107">
        <f t="shared" si="136"/>
        <v>19926000</v>
      </c>
      <c r="L374" s="107">
        <f t="shared" si="136"/>
        <v>19554000</v>
      </c>
      <c r="M374" s="107">
        <f t="shared" si="136"/>
        <v>11115000</v>
      </c>
      <c r="N374" s="107">
        <f t="shared" si="136"/>
        <v>8348000</v>
      </c>
      <c r="O374" s="107">
        <f t="shared" si="136"/>
        <v>17127000</v>
      </c>
      <c r="P374" s="107">
        <f t="shared" si="136"/>
        <v>27288000</v>
      </c>
      <c r="Q374" s="107">
        <f t="shared" si="136"/>
        <v>4000</v>
      </c>
      <c r="R374" s="107">
        <f t="shared" si="136"/>
        <v>105618000</v>
      </c>
      <c r="S374" s="107">
        <f t="shared" si="136"/>
        <v>31116000</v>
      </c>
      <c r="T374" s="107"/>
      <c r="U374" s="107"/>
      <c r="V374" s="107"/>
      <c r="W374" s="107">
        <f t="shared" si="136"/>
        <v>243525160</v>
      </c>
      <c r="X374" s="107">
        <f>X371+W373</f>
        <v>4402138396</v>
      </c>
      <c r="Y374" s="107"/>
    </row>
    <row r="375" spans="1:25" x14ac:dyDescent="0.2">
      <c r="H375" s="107"/>
      <c r="S375" s="107"/>
      <c r="T375" s="107"/>
      <c r="U375" s="107"/>
      <c r="V375" s="107"/>
      <c r="X375" s="107"/>
      <c r="Y375" s="107"/>
    </row>
    <row r="376" spans="1:25" x14ac:dyDescent="0.2">
      <c r="A376" s="112" t="s">
        <v>45</v>
      </c>
      <c r="B376" s="107">
        <v>0</v>
      </c>
      <c r="C376" s="107">
        <v>3462000</v>
      </c>
      <c r="D376" s="107">
        <v>3588000</v>
      </c>
      <c r="E376" s="107">
        <v>5472000</v>
      </c>
      <c r="F376" s="107">
        <v>2892000</v>
      </c>
      <c r="G376" s="107">
        <f>SUM(B376:F376)</f>
        <v>15414000</v>
      </c>
      <c r="H376" s="107"/>
      <c r="I376" s="107">
        <v>1344000</v>
      </c>
      <c r="J376" s="107">
        <v>0</v>
      </c>
      <c r="K376" s="107">
        <f>1785*1000</f>
        <v>1785000</v>
      </c>
      <c r="L376" s="107">
        <v>1788000</v>
      </c>
      <c r="M376" s="107">
        <v>2718000</v>
      </c>
      <c r="N376" s="107">
        <v>756000</v>
      </c>
      <c r="O376" s="107">
        <v>1239000</v>
      </c>
      <c r="P376" s="107">
        <v>3180000</v>
      </c>
      <c r="Q376" s="107">
        <v>0</v>
      </c>
      <c r="R376" s="107">
        <f>SUM(I376:Q376)</f>
        <v>12810000</v>
      </c>
      <c r="S376" s="107">
        <f>4938*1000</f>
        <v>4938000</v>
      </c>
      <c r="T376" s="107"/>
      <c r="U376" s="107"/>
      <c r="V376" s="107"/>
      <c r="W376" s="107">
        <f>R376+G376+S376</f>
        <v>33162000</v>
      </c>
      <c r="X376" s="107"/>
      <c r="Y376" s="107"/>
    </row>
    <row r="377" spans="1:25" x14ac:dyDescent="0.2">
      <c r="A377" s="112" t="s">
        <v>42</v>
      </c>
      <c r="B377" s="107">
        <f t="shared" ref="B377:G377" si="137">B374+B376-B329</f>
        <v>268800</v>
      </c>
      <c r="C377" s="107">
        <f t="shared" si="137"/>
        <v>36060000</v>
      </c>
      <c r="D377" s="107">
        <f t="shared" si="137"/>
        <v>28109900</v>
      </c>
      <c r="E377" s="107">
        <f t="shared" si="137"/>
        <v>18218112</v>
      </c>
      <c r="F377" s="107">
        <f t="shared" si="137"/>
        <v>29471348</v>
      </c>
      <c r="G377" s="107">
        <f t="shared" si="137"/>
        <v>112128160</v>
      </c>
      <c r="H377" s="107"/>
      <c r="I377" s="107">
        <f t="shared" ref="I377:W377" si="138">I374+I376-I329</f>
        <v>3600000</v>
      </c>
      <c r="J377" s="107">
        <f t="shared" si="138"/>
        <v>0</v>
      </c>
      <c r="K377" s="107">
        <f t="shared" si="138"/>
        <v>19926000</v>
      </c>
      <c r="L377" s="107">
        <f t="shared" si="138"/>
        <v>19620000</v>
      </c>
      <c r="M377" s="107">
        <f t="shared" si="138"/>
        <v>12699000</v>
      </c>
      <c r="N377" s="107">
        <f t="shared" si="138"/>
        <v>8322000</v>
      </c>
      <c r="O377" s="107">
        <f t="shared" si="138"/>
        <v>17154000</v>
      </c>
      <c r="P377" s="107">
        <f t="shared" si="138"/>
        <v>29886000</v>
      </c>
      <c r="Q377" s="107">
        <f t="shared" si="138"/>
        <v>4000</v>
      </c>
      <c r="R377" s="107">
        <f t="shared" si="138"/>
        <v>111211000</v>
      </c>
      <c r="S377" s="107">
        <f t="shared" si="138"/>
        <v>35576000</v>
      </c>
      <c r="T377" s="107"/>
      <c r="U377" s="107"/>
      <c r="V377" s="107"/>
      <c r="W377" s="107">
        <f t="shared" si="138"/>
        <v>258915160</v>
      </c>
      <c r="X377" s="107">
        <f>X374+W376</f>
        <v>4435300396</v>
      </c>
      <c r="Y377" s="107"/>
    </row>
    <row r="378" spans="1:25" x14ac:dyDescent="0.2">
      <c r="H378" s="107"/>
      <c r="S378" s="107"/>
      <c r="T378" s="107"/>
      <c r="U378" s="107"/>
      <c r="V378" s="107"/>
      <c r="X378" s="107"/>
      <c r="Y378" s="107"/>
    </row>
    <row r="379" spans="1:25" x14ac:dyDescent="0.2">
      <c r="A379" s="112" t="s">
        <v>46</v>
      </c>
      <c r="B379" s="107">
        <v>0</v>
      </c>
      <c r="C379" s="107">
        <v>3552000</v>
      </c>
      <c r="D379" s="107">
        <v>3372000</v>
      </c>
      <c r="E379" s="107">
        <v>5418000</v>
      </c>
      <c r="F379" s="107">
        <v>3000000</v>
      </c>
      <c r="G379" s="107">
        <f>SUM(B379:F379)</f>
        <v>15342000</v>
      </c>
      <c r="H379" s="107"/>
      <c r="I379" s="107">
        <v>1596000</v>
      </c>
      <c r="J379" s="107">
        <v>0</v>
      </c>
      <c r="K379" s="107">
        <v>1809000</v>
      </c>
      <c r="L379" s="107">
        <v>1749000</v>
      </c>
      <c r="M379" s="107">
        <v>1854000</v>
      </c>
      <c r="N379" s="107">
        <v>930000</v>
      </c>
      <c r="O379" s="107">
        <v>1146000</v>
      </c>
      <c r="P379" s="107">
        <v>3282000</v>
      </c>
      <c r="Q379" s="107">
        <v>0</v>
      </c>
      <c r="R379" s="107">
        <f>SUM(I379:Q379)</f>
        <v>12366000</v>
      </c>
      <c r="S379" s="107">
        <f>6298*1000</f>
        <v>6298000</v>
      </c>
      <c r="T379" s="107"/>
      <c r="U379" s="107"/>
      <c r="V379" s="107"/>
      <c r="W379" s="107">
        <f>R379+G379+S379</f>
        <v>34006000</v>
      </c>
      <c r="X379" s="107"/>
      <c r="Y379" s="107"/>
    </row>
    <row r="380" spans="1:25" x14ac:dyDescent="0.2">
      <c r="A380" s="112" t="s">
        <v>42</v>
      </c>
      <c r="B380" s="107">
        <f t="shared" ref="B380:G380" si="139">B377+B379-B332</f>
        <v>268800</v>
      </c>
      <c r="C380" s="107">
        <f t="shared" si="139"/>
        <v>36234000</v>
      </c>
      <c r="D380" s="107">
        <f t="shared" si="139"/>
        <v>30605900</v>
      </c>
      <c r="E380" s="107">
        <f t="shared" si="139"/>
        <v>21485112</v>
      </c>
      <c r="F380" s="107">
        <f t="shared" si="139"/>
        <v>29405348</v>
      </c>
      <c r="G380" s="107">
        <f t="shared" si="139"/>
        <v>117999160</v>
      </c>
      <c r="H380" s="107"/>
      <c r="I380" s="107">
        <f t="shared" ref="I380:W380" si="140">I377+I379-I332</f>
        <v>5196000</v>
      </c>
      <c r="J380" s="107">
        <f t="shared" si="140"/>
        <v>0</v>
      </c>
      <c r="K380" s="107">
        <f t="shared" si="140"/>
        <v>20217000</v>
      </c>
      <c r="L380" s="107">
        <f t="shared" si="140"/>
        <v>19950000</v>
      </c>
      <c r="M380" s="107">
        <f t="shared" si="140"/>
        <v>13608000</v>
      </c>
      <c r="N380" s="107">
        <f t="shared" si="140"/>
        <v>8622000</v>
      </c>
      <c r="O380" s="107">
        <f t="shared" si="140"/>
        <v>16842000</v>
      </c>
      <c r="P380" s="107">
        <f t="shared" si="140"/>
        <v>31758000</v>
      </c>
      <c r="Q380" s="107">
        <f t="shared" si="140"/>
        <v>4000</v>
      </c>
      <c r="R380" s="107">
        <f t="shared" si="140"/>
        <v>116197000</v>
      </c>
      <c r="S380" s="107">
        <f t="shared" si="140"/>
        <v>38018000</v>
      </c>
      <c r="T380" s="107"/>
      <c r="U380" s="107"/>
      <c r="V380" s="107"/>
      <c r="W380" s="107">
        <f t="shared" si="140"/>
        <v>272214160</v>
      </c>
      <c r="X380" s="107">
        <f>X377+W379</f>
        <v>4469306396</v>
      </c>
      <c r="Y380" s="107"/>
    </row>
    <row r="381" spans="1:25" x14ac:dyDescent="0.2">
      <c r="H381" s="107"/>
      <c r="S381" s="107"/>
      <c r="T381" s="107"/>
      <c r="U381" s="107"/>
      <c r="V381" s="107"/>
      <c r="X381" s="107"/>
      <c r="Y381" s="107"/>
    </row>
    <row r="382" spans="1:25" x14ac:dyDescent="0.2">
      <c r="A382" s="112" t="s">
        <v>47</v>
      </c>
      <c r="B382" s="107">
        <v>0</v>
      </c>
      <c r="C382" s="107">
        <v>3422136</v>
      </c>
      <c r="D382" s="107">
        <v>3385336</v>
      </c>
      <c r="E382" s="107">
        <v>2511352</v>
      </c>
      <c r="F382" s="107">
        <v>2369495</v>
      </c>
      <c r="G382" s="107">
        <f>SUM(B382:F382)</f>
        <v>11688319</v>
      </c>
      <c r="H382" s="107"/>
      <c r="I382" s="107">
        <v>1803141</v>
      </c>
      <c r="J382" s="107">
        <v>0</v>
      </c>
      <c r="K382" s="107">
        <v>1749000</v>
      </c>
      <c r="L382" s="107">
        <v>1728000</v>
      </c>
      <c r="M382" s="107">
        <v>1845000</v>
      </c>
      <c r="N382" s="107">
        <v>834000</v>
      </c>
      <c r="O382" s="107">
        <v>1332000</v>
      </c>
      <c r="P382" s="107">
        <v>3324000</v>
      </c>
      <c r="Q382" s="107">
        <v>0</v>
      </c>
      <c r="R382" s="107">
        <f>SUM(I382:Q382)</f>
        <v>12615141</v>
      </c>
      <c r="S382" s="107">
        <f>6781*1000</f>
        <v>6781000</v>
      </c>
      <c r="T382" s="107"/>
      <c r="U382" s="107"/>
      <c r="V382" s="107"/>
      <c r="W382" s="107">
        <f>R382+G382+S382</f>
        <v>31084460</v>
      </c>
      <c r="X382" s="107"/>
      <c r="Y382" s="107"/>
    </row>
    <row r="383" spans="1:25" x14ac:dyDescent="0.2">
      <c r="A383" s="112" t="s">
        <v>42</v>
      </c>
      <c r="B383" s="107">
        <f t="shared" ref="B383:G383" si="141">B380+B382-B335</f>
        <v>268800</v>
      </c>
      <c r="C383" s="107">
        <f t="shared" si="141"/>
        <v>36302136</v>
      </c>
      <c r="D383" s="107">
        <f t="shared" si="141"/>
        <v>32059236</v>
      </c>
      <c r="E383" s="107">
        <f t="shared" si="141"/>
        <v>22383352</v>
      </c>
      <c r="F383" s="107">
        <f t="shared" si="141"/>
        <v>29536843</v>
      </c>
      <c r="G383" s="107">
        <f t="shared" si="141"/>
        <v>120550367</v>
      </c>
      <c r="H383" s="107"/>
      <c r="I383" s="107">
        <f t="shared" ref="I383:W383" si="142">I380+I382-I335</f>
        <v>6999141</v>
      </c>
      <c r="J383" s="107">
        <f t="shared" si="142"/>
        <v>0</v>
      </c>
      <c r="K383" s="107">
        <f t="shared" si="142"/>
        <v>20283000</v>
      </c>
      <c r="L383" s="107">
        <f t="shared" si="142"/>
        <v>20076000</v>
      </c>
      <c r="M383" s="107">
        <f t="shared" si="142"/>
        <v>13527000</v>
      </c>
      <c r="N383" s="107">
        <f t="shared" si="142"/>
        <v>8690000</v>
      </c>
      <c r="O383" s="107">
        <f t="shared" si="142"/>
        <v>16686000</v>
      </c>
      <c r="P383" s="107">
        <f t="shared" si="142"/>
        <v>32358000</v>
      </c>
      <c r="Q383" s="107">
        <f t="shared" si="142"/>
        <v>0</v>
      </c>
      <c r="R383" s="107">
        <f t="shared" si="142"/>
        <v>118619141</v>
      </c>
      <c r="S383" s="107">
        <f t="shared" si="142"/>
        <v>39136000</v>
      </c>
      <c r="T383" s="107"/>
      <c r="U383" s="107"/>
      <c r="V383" s="107"/>
      <c r="W383" s="107">
        <f t="shared" si="142"/>
        <v>278305508</v>
      </c>
      <c r="X383" s="107">
        <f>X380+W382</f>
        <v>4500390856</v>
      </c>
      <c r="Y383" s="107"/>
    </row>
    <row r="384" spans="1:25" x14ac:dyDescent="0.2">
      <c r="H384" s="107"/>
      <c r="S384" s="114" t="s">
        <v>105</v>
      </c>
      <c r="T384" s="114"/>
      <c r="U384" s="114"/>
      <c r="V384" s="114"/>
      <c r="X384" s="107"/>
    </row>
    <row r="385" spans="1:24" x14ac:dyDescent="0.2">
      <c r="A385" s="112" t="s">
        <v>48</v>
      </c>
      <c r="B385" s="107">
        <v>0</v>
      </c>
      <c r="C385" s="107">
        <v>3354000</v>
      </c>
      <c r="D385" s="107">
        <v>3960000</v>
      </c>
      <c r="E385" s="107">
        <v>4572000</v>
      </c>
      <c r="F385" s="107">
        <v>3090000</v>
      </c>
      <c r="G385" s="107">
        <f>SUM(B385:F385)</f>
        <v>14976000</v>
      </c>
      <c r="H385" s="107"/>
      <c r="I385" s="107">
        <v>1692000</v>
      </c>
      <c r="J385" s="107">
        <v>0</v>
      </c>
      <c r="K385" s="107">
        <v>1359000</v>
      </c>
      <c r="L385" s="107">
        <v>1473000</v>
      </c>
      <c r="M385" s="107">
        <v>2106000</v>
      </c>
      <c r="N385" s="107">
        <v>794000</v>
      </c>
      <c r="O385" s="107">
        <v>1512000</v>
      </c>
      <c r="P385" s="107">
        <v>3300000</v>
      </c>
      <c r="Q385" s="107">
        <v>0</v>
      </c>
      <c r="R385" s="107">
        <f>SUM(I385:Q385)</f>
        <v>12236000</v>
      </c>
      <c r="S385" s="107">
        <v>6155000</v>
      </c>
      <c r="T385" s="107"/>
      <c r="U385" s="107"/>
      <c r="V385" s="107"/>
      <c r="W385" s="107">
        <f>R385+G385+S385</f>
        <v>33367000</v>
      </c>
      <c r="X385" s="107"/>
    </row>
    <row r="386" spans="1:24" x14ac:dyDescent="0.2">
      <c r="A386" s="112" t="s">
        <v>42</v>
      </c>
      <c r="B386" s="107">
        <f t="shared" ref="B386:G386" si="143">B383+B385-B338</f>
        <v>268800</v>
      </c>
      <c r="C386" s="107">
        <f t="shared" si="143"/>
        <v>36110136</v>
      </c>
      <c r="D386" s="107">
        <f t="shared" si="143"/>
        <v>33289336</v>
      </c>
      <c r="E386" s="107">
        <f t="shared" si="143"/>
        <v>24804352</v>
      </c>
      <c r="F386" s="107">
        <f t="shared" si="143"/>
        <v>29957495</v>
      </c>
      <c r="G386" s="107">
        <f t="shared" si="143"/>
        <v>124430119</v>
      </c>
      <c r="H386" s="107"/>
      <c r="I386" s="107">
        <f t="shared" ref="I386:W386" si="144">I383+I385-I338</f>
        <v>8139141</v>
      </c>
      <c r="J386" s="107">
        <f t="shared" si="144"/>
        <v>0</v>
      </c>
      <c r="K386" s="107">
        <f t="shared" si="144"/>
        <v>19869000</v>
      </c>
      <c r="L386" s="107">
        <f t="shared" si="144"/>
        <v>19824000</v>
      </c>
      <c r="M386" s="107">
        <f t="shared" si="144"/>
        <v>13392000</v>
      </c>
      <c r="N386" s="107">
        <f t="shared" si="144"/>
        <v>8630000</v>
      </c>
      <c r="O386" s="107">
        <f t="shared" si="144"/>
        <v>16551000</v>
      </c>
      <c r="P386" s="107">
        <f t="shared" si="144"/>
        <v>32394000</v>
      </c>
      <c r="Q386" s="107">
        <f t="shared" si="144"/>
        <v>0</v>
      </c>
      <c r="R386" s="107">
        <f t="shared" si="144"/>
        <v>118799141</v>
      </c>
      <c r="S386" s="107">
        <f t="shared" si="144"/>
        <v>38022000</v>
      </c>
      <c r="T386" s="107"/>
      <c r="U386" s="107"/>
      <c r="V386" s="107"/>
      <c r="W386" s="107">
        <f t="shared" si="144"/>
        <v>281251260</v>
      </c>
      <c r="X386" s="107">
        <f>X383+W385</f>
        <v>4533757856</v>
      </c>
    </row>
    <row r="387" spans="1:24" x14ac:dyDescent="0.2">
      <c r="H387" s="107"/>
      <c r="S387" s="107"/>
      <c r="T387" s="107"/>
      <c r="U387" s="107"/>
      <c r="V387" s="107"/>
      <c r="X387" s="107"/>
    </row>
    <row r="388" spans="1:24" x14ac:dyDescent="0.2">
      <c r="A388" s="112" t="s">
        <v>49</v>
      </c>
      <c r="B388" s="107">
        <v>340800</v>
      </c>
      <c r="C388" s="107">
        <v>3270000</v>
      </c>
      <c r="D388" s="107">
        <v>5700000</v>
      </c>
      <c r="E388" s="107">
        <v>5535000</v>
      </c>
      <c r="F388" s="107">
        <v>3102000</v>
      </c>
      <c r="G388" s="107">
        <f>SUM(B388:F388)</f>
        <v>17947800</v>
      </c>
      <c r="H388" s="107"/>
      <c r="I388" s="107">
        <v>4452000</v>
      </c>
      <c r="J388" s="107">
        <v>2925000</v>
      </c>
      <c r="K388" s="107">
        <v>1671000</v>
      </c>
      <c r="L388" s="107">
        <v>1662000</v>
      </c>
      <c r="M388" s="107">
        <v>2223000</v>
      </c>
      <c r="N388" s="107">
        <v>728000</v>
      </c>
      <c r="O388" s="107">
        <v>1242000</v>
      </c>
      <c r="P388" s="107">
        <v>3198000</v>
      </c>
      <c r="Q388" s="107">
        <v>0</v>
      </c>
      <c r="R388" s="107">
        <f>SUM(I388:Q388)</f>
        <v>18101000</v>
      </c>
      <c r="S388" s="107">
        <v>5846000</v>
      </c>
      <c r="T388" s="107"/>
      <c r="U388" s="107"/>
      <c r="V388" s="107"/>
      <c r="W388" s="107">
        <f>R388+G388+S388</f>
        <v>41894800</v>
      </c>
      <c r="X388" s="107"/>
    </row>
    <row r="389" spans="1:24" x14ac:dyDescent="0.2">
      <c r="A389" s="112" t="s">
        <v>42</v>
      </c>
      <c r="B389" s="107">
        <f t="shared" ref="B389:G389" si="145">B386+B388-B341</f>
        <v>609600</v>
      </c>
      <c r="C389" s="107">
        <f t="shared" si="145"/>
        <v>36092136</v>
      </c>
      <c r="D389" s="107">
        <f t="shared" si="145"/>
        <v>36121336</v>
      </c>
      <c r="E389" s="107">
        <f t="shared" si="145"/>
        <v>27972352</v>
      </c>
      <c r="F389" s="107">
        <f t="shared" si="145"/>
        <v>30515495</v>
      </c>
      <c r="G389" s="107">
        <f t="shared" si="145"/>
        <v>131310919</v>
      </c>
      <c r="H389" s="107"/>
      <c r="I389" s="107">
        <f t="shared" ref="I389:W389" si="146">I386+I388-I341</f>
        <v>12447141</v>
      </c>
      <c r="J389" s="107">
        <f t="shared" si="146"/>
        <v>2925000</v>
      </c>
      <c r="K389" s="107">
        <f t="shared" si="146"/>
        <v>19902000</v>
      </c>
      <c r="L389" s="107">
        <f t="shared" si="146"/>
        <v>19725000</v>
      </c>
      <c r="M389" s="107">
        <f t="shared" si="146"/>
        <v>13086000</v>
      </c>
      <c r="N389" s="107">
        <f t="shared" si="146"/>
        <v>8616000</v>
      </c>
      <c r="O389" s="107">
        <f t="shared" si="146"/>
        <v>16053000</v>
      </c>
      <c r="P389" s="107">
        <f t="shared" si="146"/>
        <v>32208000</v>
      </c>
      <c r="Q389" s="107">
        <f t="shared" si="146"/>
        <v>0</v>
      </c>
      <c r="R389" s="107">
        <f t="shared" si="146"/>
        <v>124962141</v>
      </c>
      <c r="S389" s="107">
        <f t="shared" si="146"/>
        <v>36765000</v>
      </c>
      <c r="T389" s="107"/>
      <c r="U389" s="107"/>
      <c r="V389" s="107"/>
      <c r="W389" s="107">
        <f t="shared" si="146"/>
        <v>293038060</v>
      </c>
      <c r="X389" s="107">
        <f>X386+W388</f>
        <v>4575652656</v>
      </c>
    </row>
    <row r="390" spans="1:24" x14ac:dyDescent="0.2">
      <c r="H390" s="107"/>
      <c r="S390" s="107"/>
      <c r="T390" s="107"/>
      <c r="U390" s="107"/>
      <c r="V390" s="107"/>
      <c r="X390" s="107"/>
    </row>
    <row r="391" spans="1:24" x14ac:dyDescent="0.2">
      <c r="A391" s="112" t="s">
        <v>50</v>
      </c>
      <c r="B391" s="107">
        <v>600000</v>
      </c>
      <c r="C391" s="107">
        <v>3192000</v>
      </c>
      <c r="D391" s="107">
        <v>5376000</v>
      </c>
      <c r="E391" s="107">
        <v>4536000</v>
      </c>
      <c r="F391" s="107">
        <v>3030000</v>
      </c>
      <c r="G391" s="107">
        <f>SUM(B391:F391)</f>
        <v>16734000</v>
      </c>
      <c r="H391" s="107"/>
      <c r="I391" s="107">
        <v>4500000</v>
      </c>
      <c r="J391" s="107">
        <v>3114000</v>
      </c>
      <c r="K391" s="107">
        <v>1374000</v>
      </c>
      <c r="L391" s="107">
        <v>1311000</v>
      </c>
      <c r="M391" s="107">
        <v>2448000</v>
      </c>
      <c r="N391" s="107">
        <v>620000</v>
      </c>
      <c r="O391" s="107">
        <v>753000</v>
      </c>
      <c r="P391" s="107">
        <v>3000000</v>
      </c>
      <c r="Q391" s="107">
        <v>0</v>
      </c>
      <c r="R391" s="107">
        <f>SUM(I391:Q391)</f>
        <v>17120000</v>
      </c>
      <c r="S391" s="107">
        <v>4364000</v>
      </c>
      <c r="T391" s="107"/>
      <c r="U391" s="107"/>
      <c r="V391" s="107"/>
      <c r="W391" s="107">
        <f>R391+G391+S391</f>
        <v>38218000</v>
      </c>
      <c r="X391" s="107"/>
    </row>
    <row r="392" spans="1:24" x14ac:dyDescent="0.2">
      <c r="A392" s="112" t="s">
        <v>42</v>
      </c>
      <c r="B392" s="107">
        <f t="shared" ref="B392:G392" si="147">B389+B391-B344</f>
        <v>1209600</v>
      </c>
      <c r="C392" s="107">
        <f t="shared" si="147"/>
        <v>35966136</v>
      </c>
      <c r="D392" s="107">
        <f t="shared" si="147"/>
        <v>38797336</v>
      </c>
      <c r="E392" s="107">
        <f t="shared" si="147"/>
        <v>29898352</v>
      </c>
      <c r="F392" s="107">
        <f t="shared" si="147"/>
        <v>31139495</v>
      </c>
      <c r="G392" s="107">
        <f t="shared" si="147"/>
        <v>137010919</v>
      </c>
      <c r="H392" s="107"/>
      <c r="I392" s="107">
        <f t="shared" ref="I392:W392" si="148">I389+I391-I344</f>
        <v>16947141</v>
      </c>
      <c r="J392" s="107">
        <f t="shared" si="148"/>
        <v>6039000</v>
      </c>
      <c r="K392" s="107">
        <f t="shared" si="148"/>
        <v>19713000</v>
      </c>
      <c r="L392" s="107">
        <f t="shared" si="148"/>
        <v>19497000</v>
      </c>
      <c r="M392" s="107">
        <f t="shared" si="148"/>
        <v>13194000</v>
      </c>
      <c r="N392" s="107">
        <f t="shared" si="148"/>
        <v>8540000</v>
      </c>
      <c r="O392" s="107">
        <f t="shared" si="148"/>
        <v>15351000</v>
      </c>
      <c r="P392" s="107">
        <f t="shared" si="148"/>
        <v>31896000</v>
      </c>
      <c r="Q392" s="107">
        <f t="shared" si="148"/>
        <v>0</v>
      </c>
      <c r="R392" s="107">
        <f t="shared" si="148"/>
        <v>131177141</v>
      </c>
      <c r="S392" s="107">
        <f t="shared" si="148"/>
        <v>34382000</v>
      </c>
      <c r="T392" s="107"/>
      <c r="U392" s="107"/>
      <c r="V392" s="107"/>
      <c r="W392" s="107">
        <f t="shared" si="148"/>
        <v>302570060</v>
      </c>
      <c r="X392" s="107">
        <f>X389+W391</f>
        <v>4613870656</v>
      </c>
    </row>
    <row r="393" spans="1:24" x14ac:dyDescent="0.2">
      <c r="H393" s="107"/>
      <c r="S393" s="107"/>
      <c r="T393" s="107"/>
      <c r="U393" s="107"/>
      <c r="V393" s="107"/>
      <c r="X393" s="107"/>
    </row>
    <row r="394" spans="1:24" x14ac:dyDescent="0.2">
      <c r="A394" s="112" t="s">
        <v>51</v>
      </c>
      <c r="B394" s="107">
        <v>604800</v>
      </c>
      <c r="C394" s="107">
        <v>3228000</v>
      </c>
      <c r="D394" s="107">
        <v>5928000</v>
      </c>
      <c r="E394" s="107">
        <v>18000</v>
      </c>
      <c r="F394" s="107">
        <v>3114000</v>
      </c>
      <c r="G394" s="107">
        <f>SUM(B394:F394)</f>
        <v>12892800</v>
      </c>
      <c r="H394" s="107"/>
      <c r="I394" s="107">
        <v>5520000</v>
      </c>
      <c r="J394" s="107">
        <v>3942000</v>
      </c>
      <c r="K394" s="107">
        <v>1785000</v>
      </c>
      <c r="L394" s="107">
        <v>1782000</v>
      </c>
      <c r="M394" s="107">
        <v>0</v>
      </c>
      <c r="N394" s="107">
        <v>602000</v>
      </c>
      <c r="O394" s="107">
        <v>0</v>
      </c>
      <c r="P394" s="107">
        <v>3090000</v>
      </c>
      <c r="Q394" s="107">
        <v>1980000</v>
      </c>
      <c r="R394" s="107">
        <f>SUM(I394:Q394)</f>
        <v>18701000</v>
      </c>
      <c r="S394" s="107">
        <v>0</v>
      </c>
      <c r="T394" s="107"/>
      <c r="U394" s="107"/>
      <c r="V394" s="107"/>
      <c r="W394" s="107">
        <f>R394+G394+S394</f>
        <v>31593800</v>
      </c>
      <c r="X394" s="107"/>
    </row>
    <row r="395" spans="1:24" x14ac:dyDescent="0.2">
      <c r="A395" s="112" t="s">
        <v>42</v>
      </c>
      <c r="B395" s="107">
        <f t="shared" ref="B395:G395" si="149">B392+B394-B347</f>
        <v>1814400</v>
      </c>
      <c r="C395" s="107">
        <f t="shared" si="149"/>
        <v>36224136</v>
      </c>
      <c r="D395" s="107">
        <f t="shared" si="149"/>
        <v>41821336</v>
      </c>
      <c r="E395" s="107">
        <f t="shared" si="149"/>
        <v>29916352</v>
      </c>
      <c r="F395" s="107">
        <f t="shared" si="149"/>
        <v>31847495</v>
      </c>
      <c r="G395" s="107">
        <f t="shared" si="149"/>
        <v>141623719</v>
      </c>
      <c r="H395" s="107"/>
      <c r="I395" s="107">
        <f t="shared" ref="I395:W395" si="150">I392+I394-I347</f>
        <v>21963141</v>
      </c>
      <c r="J395" s="107">
        <f t="shared" si="150"/>
        <v>9981000</v>
      </c>
      <c r="K395" s="107">
        <f t="shared" si="150"/>
        <v>20136000</v>
      </c>
      <c r="L395" s="107">
        <f t="shared" si="150"/>
        <v>19968000</v>
      </c>
      <c r="M395" s="107">
        <f t="shared" si="150"/>
        <v>13194000</v>
      </c>
      <c r="N395" s="107">
        <f t="shared" si="150"/>
        <v>8458000</v>
      </c>
      <c r="O395" s="107">
        <f t="shared" si="150"/>
        <v>13695000</v>
      </c>
      <c r="P395" s="107">
        <f t="shared" si="150"/>
        <v>31650000</v>
      </c>
      <c r="Q395" s="107">
        <f t="shared" si="150"/>
        <v>1980000</v>
      </c>
      <c r="R395" s="107">
        <f t="shared" si="150"/>
        <v>141025141</v>
      </c>
      <c r="S395" s="107">
        <f t="shared" si="150"/>
        <v>34382000</v>
      </c>
      <c r="T395" s="107"/>
      <c r="U395" s="107"/>
      <c r="V395" s="107"/>
      <c r="W395" s="107">
        <f t="shared" si="150"/>
        <v>317030860</v>
      </c>
      <c r="X395" s="107">
        <f>X392+W394</f>
        <v>4645464456</v>
      </c>
    </row>
    <row r="396" spans="1:24" x14ac:dyDescent="0.2">
      <c r="H396" s="107"/>
      <c r="S396" s="107"/>
      <c r="T396" s="107"/>
      <c r="U396" s="107"/>
      <c r="V396" s="107"/>
      <c r="X396" s="107"/>
    </row>
    <row r="397" spans="1:24" x14ac:dyDescent="0.2">
      <c r="A397" s="112" t="s">
        <v>52</v>
      </c>
      <c r="B397" s="107">
        <v>38400</v>
      </c>
      <c r="C397" s="107">
        <v>2760000</v>
      </c>
      <c r="D397" s="107">
        <v>4308000</v>
      </c>
      <c r="E397" s="107">
        <v>0</v>
      </c>
      <c r="F397" s="107">
        <v>2466000</v>
      </c>
      <c r="G397" s="107">
        <f>SUM(B397:F397)</f>
        <v>9572400</v>
      </c>
      <c r="H397" s="107"/>
      <c r="I397" s="107">
        <v>708000</v>
      </c>
      <c r="J397" s="107">
        <v>216000</v>
      </c>
      <c r="K397" s="107">
        <v>1617000</v>
      </c>
      <c r="L397" s="107">
        <v>1614000</v>
      </c>
      <c r="M397" s="107">
        <v>0</v>
      </c>
      <c r="N397" s="107">
        <v>214000</v>
      </c>
      <c r="O397" s="107">
        <v>1128000</v>
      </c>
      <c r="P397" s="107">
        <v>2298000</v>
      </c>
      <c r="Q397" s="107">
        <v>0</v>
      </c>
      <c r="R397" s="107">
        <f>SUM(I397:Q397)</f>
        <v>7795000</v>
      </c>
      <c r="S397" s="107">
        <v>0</v>
      </c>
      <c r="T397" s="107"/>
      <c r="U397" s="107"/>
      <c r="V397" s="107"/>
      <c r="W397" s="107">
        <f>R397+G397+S397</f>
        <v>17367400</v>
      </c>
      <c r="X397" s="107"/>
    </row>
    <row r="398" spans="1:24" x14ac:dyDescent="0.2">
      <c r="A398" s="112" t="s">
        <v>42</v>
      </c>
      <c r="B398" s="107">
        <f t="shared" ref="B398:G398" si="151">B395+B397-B350</f>
        <v>1819200</v>
      </c>
      <c r="C398" s="107">
        <f t="shared" si="151"/>
        <v>36344136</v>
      </c>
      <c r="D398" s="107">
        <f t="shared" si="151"/>
        <v>43993336</v>
      </c>
      <c r="E398" s="107">
        <f t="shared" si="151"/>
        <v>29916352</v>
      </c>
      <c r="F398" s="107">
        <f t="shared" si="151"/>
        <v>31241495</v>
      </c>
      <c r="G398" s="107">
        <f t="shared" si="151"/>
        <v>143314519</v>
      </c>
      <c r="H398" s="107"/>
      <c r="I398" s="107">
        <f t="shared" ref="I398:W398" si="152">I395+I397-I350</f>
        <v>22671141</v>
      </c>
      <c r="J398" s="107">
        <f t="shared" si="152"/>
        <v>10197000</v>
      </c>
      <c r="K398" s="107">
        <f t="shared" si="152"/>
        <v>19890000</v>
      </c>
      <c r="L398" s="107">
        <f t="shared" si="152"/>
        <v>19779000</v>
      </c>
      <c r="M398" s="107">
        <f t="shared" si="152"/>
        <v>13194000</v>
      </c>
      <c r="N398" s="107">
        <f t="shared" si="152"/>
        <v>7986000</v>
      </c>
      <c r="O398" s="107">
        <f t="shared" si="152"/>
        <v>13212000</v>
      </c>
      <c r="P398" s="107">
        <f t="shared" si="152"/>
        <v>31026000</v>
      </c>
      <c r="Q398" s="107">
        <f t="shared" si="152"/>
        <v>1980000</v>
      </c>
      <c r="R398" s="107">
        <f t="shared" si="152"/>
        <v>139935141</v>
      </c>
      <c r="S398" s="107">
        <f t="shared" si="152"/>
        <v>34382000</v>
      </c>
      <c r="T398" s="107"/>
      <c r="U398" s="107"/>
      <c r="V398" s="107"/>
      <c r="W398" s="107">
        <f t="shared" si="152"/>
        <v>317631660</v>
      </c>
      <c r="X398" s="107">
        <f>X395+W397</f>
        <v>4662831856</v>
      </c>
    </row>
    <row r="399" spans="1:24" x14ac:dyDescent="0.2">
      <c r="H399" s="107"/>
      <c r="S399" s="107"/>
      <c r="T399" s="107"/>
      <c r="U399" s="107"/>
      <c r="V399" s="107"/>
      <c r="X399" s="107"/>
    </row>
    <row r="400" spans="1:24" x14ac:dyDescent="0.2">
      <c r="A400" s="112" t="s">
        <v>53</v>
      </c>
      <c r="B400" s="107">
        <v>0</v>
      </c>
      <c r="C400" s="107">
        <v>3042000</v>
      </c>
      <c r="D400" s="107">
        <v>2808000</v>
      </c>
      <c r="E400" s="107">
        <v>1422000</v>
      </c>
      <c r="F400" s="107">
        <v>2244000</v>
      </c>
      <c r="G400" s="107">
        <f>SUM(B400:F400)</f>
        <v>9516000</v>
      </c>
      <c r="H400" s="107"/>
      <c r="I400" s="107">
        <v>0</v>
      </c>
      <c r="J400" s="107">
        <v>0</v>
      </c>
      <c r="K400" s="107">
        <v>1806000</v>
      </c>
      <c r="L400" s="107">
        <v>1857000</v>
      </c>
      <c r="M400" s="107">
        <v>0</v>
      </c>
      <c r="N400" s="107">
        <v>0</v>
      </c>
      <c r="O400" s="107">
        <v>1698000</v>
      </c>
      <c r="P400" s="107">
        <v>2196000</v>
      </c>
      <c r="Q400" s="107">
        <v>0</v>
      </c>
      <c r="R400" s="107">
        <f>SUM(I400:Q400)</f>
        <v>7557000</v>
      </c>
      <c r="S400" s="107">
        <v>0</v>
      </c>
      <c r="T400" s="107"/>
      <c r="U400" s="107"/>
      <c r="V400" s="107"/>
      <c r="W400" s="107">
        <f>R400+G400+S400</f>
        <v>17073000</v>
      </c>
      <c r="X400" s="107"/>
    </row>
    <row r="401" spans="1:24" x14ac:dyDescent="0.2">
      <c r="A401" s="112" t="s">
        <v>42</v>
      </c>
      <c r="B401" s="107">
        <f t="shared" ref="B401:G401" si="153">B398+B400-B353</f>
        <v>1584000</v>
      </c>
      <c r="C401" s="107">
        <f t="shared" si="153"/>
        <v>37442136</v>
      </c>
      <c r="D401" s="107">
        <f t="shared" si="153"/>
        <v>44461336</v>
      </c>
      <c r="E401" s="107">
        <f t="shared" si="153"/>
        <v>29484352</v>
      </c>
      <c r="F401" s="107">
        <f t="shared" si="153"/>
        <v>30917495</v>
      </c>
      <c r="G401" s="107">
        <f t="shared" si="153"/>
        <v>143889319</v>
      </c>
      <c r="H401" s="107"/>
      <c r="I401" s="107">
        <f t="shared" ref="I401:W401" si="154">I398+I400-I353</f>
        <v>21615141</v>
      </c>
      <c r="J401" s="107">
        <f t="shared" si="154"/>
        <v>10197000</v>
      </c>
      <c r="K401" s="107">
        <f t="shared" si="154"/>
        <v>20298000</v>
      </c>
      <c r="L401" s="107">
        <f t="shared" si="154"/>
        <v>20274000</v>
      </c>
      <c r="M401" s="107">
        <f t="shared" si="154"/>
        <v>13194000</v>
      </c>
      <c r="N401" s="107">
        <f t="shared" si="154"/>
        <v>7336000</v>
      </c>
      <c r="O401" s="107">
        <f t="shared" si="154"/>
        <v>13968000</v>
      </c>
      <c r="P401" s="107">
        <f t="shared" si="154"/>
        <v>31536000</v>
      </c>
      <c r="Q401" s="107">
        <f t="shared" si="154"/>
        <v>1980000</v>
      </c>
      <c r="R401" s="107">
        <f t="shared" si="154"/>
        <v>140398141</v>
      </c>
      <c r="S401" s="107">
        <f t="shared" si="154"/>
        <v>34382000</v>
      </c>
      <c r="T401" s="107"/>
      <c r="U401" s="107"/>
      <c r="V401" s="107"/>
      <c r="W401" s="107">
        <f t="shared" si="154"/>
        <v>318669460</v>
      </c>
      <c r="X401" s="107">
        <f>X398+W400</f>
        <v>4679904856</v>
      </c>
    </row>
    <row r="402" spans="1:24" x14ac:dyDescent="0.2">
      <c r="H402" s="107"/>
      <c r="X402" s="107"/>
    </row>
    <row r="403" spans="1:24" x14ac:dyDescent="0.2">
      <c r="H403" s="107"/>
      <c r="W403" s="107"/>
    </row>
    <row r="405" spans="1:24" x14ac:dyDescent="0.2">
      <c r="A405" s="52"/>
      <c r="B405" s="52"/>
      <c r="C405" s="52"/>
      <c r="D405" s="52"/>
      <c r="E405" s="52"/>
      <c r="F405" s="52"/>
      <c r="G405" s="52"/>
      <c r="H405" s="52"/>
      <c r="I405" s="52"/>
      <c r="J405" s="52"/>
      <c r="K405" s="52"/>
      <c r="L405" s="52"/>
      <c r="M405" s="52"/>
      <c r="N405" s="52"/>
      <c r="O405" s="52"/>
      <c r="P405" s="52"/>
      <c r="Q405" s="52"/>
      <c r="R405" s="52"/>
      <c r="S405" s="52"/>
      <c r="T405" s="52"/>
      <c r="U405" s="52"/>
      <c r="V405" s="52"/>
      <c r="W405" s="52"/>
      <c r="X405" s="52"/>
    </row>
    <row r="406" spans="1:24" ht="27" x14ac:dyDescent="0.35">
      <c r="A406" s="126" t="s">
        <v>88</v>
      </c>
      <c r="B406" s="121"/>
      <c r="C406" s="121"/>
      <c r="D406" s="122"/>
      <c r="E406" s="121"/>
      <c r="F406" s="121"/>
      <c r="G406" s="121"/>
      <c r="H406" s="121"/>
      <c r="I406" s="121"/>
      <c r="J406" s="121"/>
      <c r="K406" s="121"/>
      <c r="L406" s="123"/>
      <c r="M406" s="124"/>
      <c r="N406" s="121"/>
      <c r="O406" s="121"/>
      <c r="P406" s="121"/>
      <c r="Q406" s="121"/>
      <c r="R406" s="121"/>
      <c r="S406" s="121"/>
      <c r="T406" s="121"/>
      <c r="U406" s="121"/>
      <c r="V406" s="121"/>
      <c r="W406" s="125"/>
      <c r="X406" s="121"/>
    </row>
    <row r="407" spans="1:24" x14ac:dyDescent="0.2">
      <c r="A407" s="52"/>
      <c r="B407" s="52"/>
      <c r="C407" s="52"/>
      <c r="D407" s="115"/>
      <c r="E407" s="52"/>
      <c r="F407" s="115"/>
      <c r="G407" s="52"/>
      <c r="H407" s="115"/>
      <c r="I407" s="115"/>
      <c r="J407" s="115"/>
      <c r="K407" s="52"/>
      <c r="L407" s="115"/>
      <c r="M407" s="52"/>
      <c r="N407" s="52"/>
      <c r="O407" s="52"/>
      <c r="P407" s="52"/>
      <c r="Q407" s="52"/>
      <c r="R407" s="52"/>
      <c r="S407" s="52"/>
      <c r="T407" s="52"/>
      <c r="U407" s="52"/>
      <c r="V407" s="52"/>
      <c r="W407" s="91"/>
      <c r="X407" s="91"/>
    </row>
    <row r="408" spans="1:24" ht="27" x14ac:dyDescent="0.35">
      <c r="A408" s="126" t="s">
        <v>107</v>
      </c>
      <c r="B408" s="121"/>
      <c r="C408" s="121"/>
      <c r="D408" s="121"/>
      <c r="E408" s="121"/>
      <c r="F408" s="122"/>
      <c r="G408" s="121"/>
      <c r="H408" s="121"/>
      <c r="I408" s="121"/>
      <c r="J408" s="121"/>
      <c r="K408" s="121"/>
      <c r="L408" s="121"/>
      <c r="M408" s="121"/>
      <c r="N408" s="121"/>
      <c r="O408" s="121"/>
      <c r="P408" s="121"/>
      <c r="Q408" s="121"/>
      <c r="R408" s="121"/>
      <c r="S408" s="121"/>
      <c r="T408" s="121"/>
      <c r="U408" s="121"/>
      <c r="V408" s="121"/>
      <c r="W408" s="125"/>
      <c r="X408" s="125"/>
    </row>
    <row r="409" spans="1:24" x14ac:dyDescent="0.2">
      <c r="A409" s="52"/>
      <c r="B409" s="52"/>
      <c r="C409" s="52"/>
      <c r="D409" s="52"/>
      <c r="E409" s="52"/>
      <c r="F409" s="52"/>
      <c r="G409" s="52"/>
      <c r="H409" s="52"/>
      <c r="I409" s="52"/>
      <c r="J409" s="52"/>
      <c r="K409" s="52"/>
      <c r="L409" s="52"/>
      <c r="M409" s="52"/>
      <c r="N409" s="52"/>
      <c r="O409" s="52"/>
      <c r="P409" s="52"/>
      <c r="Q409" s="52"/>
      <c r="R409" s="52"/>
      <c r="S409" s="52"/>
      <c r="T409" s="52"/>
      <c r="U409" s="52"/>
      <c r="V409" s="52"/>
      <c r="W409" s="52"/>
      <c r="X409" s="116" t="s">
        <v>7</v>
      </c>
    </row>
    <row r="410" spans="1:24" x14ac:dyDescent="0.2">
      <c r="A410" s="52"/>
      <c r="B410" s="120" t="s">
        <v>108</v>
      </c>
      <c r="C410" s="121"/>
      <c r="D410" s="121"/>
      <c r="E410" s="121"/>
      <c r="F410" s="121"/>
      <c r="G410" s="52"/>
      <c r="H410" s="52"/>
      <c r="I410" s="120" t="s">
        <v>109</v>
      </c>
      <c r="J410" s="121"/>
      <c r="K410" s="121"/>
      <c r="L410" s="121"/>
      <c r="M410" s="121"/>
      <c r="N410" s="121"/>
      <c r="O410" s="121"/>
      <c r="P410" s="121"/>
      <c r="Q410" s="121"/>
      <c r="R410" s="52"/>
      <c r="S410" s="52"/>
      <c r="T410" s="52"/>
      <c r="U410" s="52"/>
      <c r="V410" s="52"/>
      <c r="W410" s="52"/>
      <c r="X410" s="116" t="s">
        <v>10</v>
      </c>
    </row>
    <row r="411" spans="1:24" x14ac:dyDescent="0.2">
      <c r="A411" s="52"/>
      <c r="B411" s="117" t="s">
        <v>11</v>
      </c>
      <c r="C411" s="117" t="s">
        <v>12</v>
      </c>
      <c r="D411" s="117" t="s">
        <v>13</v>
      </c>
      <c r="E411" s="117" t="s">
        <v>14</v>
      </c>
      <c r="F411" s="117" t="s">
        <v>15</v>
      </c>
      <c r="G411" s="117" t="s">
        <v>16</v>
      </c>
      <c r="H411" s="52"/>
      <c r="I411" s="117" t="s">
        <v>17</v>
      </c>
      <c r="J411" s="52"/>
      <c r="K411" s="52"/>
      <c r="L411" s="52"/>
      <c r="M411" s="52"/>
      <c r="N411" s="117" t="s">
        <v>18</v>
      </c>
      <c r="O411" s="117" t="s">
        <v>19</v>
      </c>
      <c r="P411" s="117" t="s">
        <v>20</v>
      </c>
      <c r="Q411" s="117" t="s">
        <v>21</v>
      </c>
      <c r="R411" s="117" t="s">
        <v>16</v>
      </c>
      <c r="S411" s="117" t="s">
        <v>102</v>
      </c>
      <c r="T411" s="117"/>
      <c r="U411" s="117"/>
      <c r="V411" s="117"/>
      <c r="W411" s="117" t="s">
        <v>7</v>
      </c>
      <c r="X411" s="116" t="s">
        <v>22</v>
      </c>
    </row>
    <row r="412" spans="1:24" x14ac:dyDescent="0.2">
      <c r="A412" s="52"/>
      <c r="B412" s="117" t="s">
        <v>23</v>
      </c>
      <c r="C412" s="117" t="s">
        <v>24</v>
      </c>
      <c r="D412" s="117" t="s">
        <v>25</v>
      </c>
      <c r="E412" s="117" t="s">
        <v>26</v>
      </c>
      <c r="F412" s="117" t="s">
        <v>27</v>
      </c>
      <c r="G412" s="117" t="s">
        <v>28</v>
      </c>
      <c r="H412" s="52"/>
      <c r="I412" s="117" t="s">
        <v>29</v>
      </c>
      <c r="J412" s="117" t="s">
        <v>30</v>
      </c>
      <c r="K412" s="117" t="s">
        <v>31</v>
      </c>
      <c r="L412" s="117" t="s">
        <v>32</v>
      </c>
      <c r="M412" s="117" t="s">
        <v>33</v>
      </c>
      <c r="N412" s="117" t="s">
        <v>34</v>
      </c>
      <c r="O412" s="117" t="s">
        <v>35</v>
      </c>
      <c r="P412" s="117" t="s">
        <v>36</v>
      </c>
      <c r="Q412" s="117" t="s">
        <v>37</v>
      </c>
      <c r="R412" s="117" t="s">
        <v>28</v>
      </c>
      <c r="S412" s="117" t="s">
        <v>103</v>
      </c>
      <c r="T412" s="117"/>
      <c r="U412" s="117"/>
      <c r="V412" s="117"/>
      <c r="W412" s="117" t="s">
        <v>10</v>
      </c>
      <c r="X412" s="116" t="s">
        <v>38</v>
      </c>
    </row>
    <row r="413" spans="1:24" x14ac:dyDescent="0.2">
      <c r="A413" s="52"/>
      <c r="B413" s="117" t="s">
        <v>39</v>
      </c>
      <c r="C413" s="117" t="s">
        <v>40</v>
      </c>
      <c r="D413" s="117" t="s">
        <v>40</v>
      </c>
      <c r="E413" s="117" t="s">
        <v>40</v>
      </c>
      <c r="F413" s="117" t="s">
        <v>40</v>
      </c>
      <c r="G413" s="117" t="s">
        <v>40</v>
      </c>
      <c r="H413" s="52"/>
      <c r="I413" s="117" t="s">
        <v>40</v>
      </c>
      <c r="J413" s="117" t="s">
        <v>40</v>
      </c>
      <c r="K413" s="117" t="s">
        <v>40</v>
      </c>
      <c r="L413" s="117" t="s">
        <v>40</v>
      </c>
      <c r="M413" s="117" t="s">
        <v>40</v>
      </c>
      <c r="N413" s="117" t="s">
        <v>40</v>
      </c>
      <c r="O413" s="117" t="s">
        <v>40</v>
      </c>
      <c r="P413" s="117" t="s">
        <v>40</v>
      </c>
      <c r="Q413" s="117" t="s">
        <v>40</v>
      </c>
      <c r="R413" s="117" t="s">
        <v>40</v>
      </c>
      <c r="S413" s="117" t="s">
        <v>40</v>
      </c>
      <c r="T413" s="117"/>
      <c r="U413" s="117"/>
      <c r="V413" s="117"/>
      <c r="W413" s="117" t="s">
        <v>40</v>
      </c>
      <c r="X413" s="116" t="s">
        <v>40</v>
      </c>
    </row>
    <row r="414" spans="1:24" x14ac:dyDescent="0.2">
      <c r="A414" s="117" t="s">
        <v>41</v>
      </c>
      <c r="B414" s="91">
        <v>254400</v>
      </c>
      <c r="C414" s="91">
        <v>3210000</v>
      </c>
      <c r="D414" s="91">
        <v>1512000</v>
      </c>
      <c r="E414" s="91">
        <v>351000</v>
      </c>
      <c r="F414" s="91">
        <v>1182000</v>
      </c>
      <c r="G414" s="91">
        <f>SUM(B414:F414)</f>
        <v>6509400</v>
      </c>
      <c r="H414" s="91"/>
      <c r="I414" s="91">
        <v>1452000</v>
      </c>
      <c r="J414" s="91">
        <v>0</v>
      </c>
      <c r="K414" s="91">
        <v>1656000</v>
      </c>
      <c r="L414" s="91">
        <v>1647000</v>
      </c>
      <c r="M414" s="91">
        <v>0</v>
      </c>
      <c r="N414" s="91">
        <v>0</v>
      </c>
      <c r="O414" s="91">
        <v>825000</v>
      </c>
      <c r="P414" s="91">
        <v>3204000</v>
      </c>
      <c r="Q414" s="91">
        <v>0</v>
      </c>
      <c r="R414" s="91">
        <f>SUM(I414:Q414)</f>
        <v>8784000</v>
      </c>
      <c r="S414" s="118">
        <v>0</v>
      </c>
      <c r="T414" s="118"/>
      <c r="U414" s="118"/>
      <c r="V414" s="118"/>
      <c r="W414" s="91">
        <f>R414+G414</f>
        <v>15293400</v>
      </c>
      <c r="X414" s="91"/>
    </row>
    <row r="415" spans="1:24" x14ac:dyDescent="0.2">
      <c r="A415" s="117" t="s">
        <v>42</v>
      </c>
      <c r="B415" s="91">
        <f t="shared" ref="B415:G415" si="155">B401+B414-B367</f>
        <v>1838400</v>
      </c>
      <c r="C415" s="91">
        <f t="shared" si="155"/>
        <v>38096136</v>
      </c>
      <c r="D415" s="91">
        <f t="shared" si="155"/>
        <v>43453336</v>
      </c>
      <c r="E415" s="91">
        <f t="shared" si="155"/>
        <v>29835352</v>
      </c>
      <c r="F415" s="91">
        <f t="shared" si="155"/>
        <v>29825495</v>
      </c>
      <c r="G415" s="91">
        <f t="shared" si="155"/>
        <v>143048719</v>
      </c>
      <c r="H415" s="91"/>
      <c r="I415" s="91">
        <f t="shared" ref="I415:W415" si="156">I401+I414-I367</f>
        <v>23067141</v>
      </c>
      <c r="J415" s="91">
        <f t="shared" si="156"/>
        <v>10197000</v>
      </c>
      <c r="K415" s="91">
        <f t="shared" si="156"/>
        <v>20073000</v>
      </c>
      <c r="L415" s="91">
        <f t="shared" si="156"/>
        <v>20106000</v>
      </c>
      <c r="M415" s="91">
        <f t="shared" si="156"/>
        <v>13194000</v>
      </c>
      <c r="N415" s="91">
        <f t="shared" si="156"/>
        <v>6680000</v>
      </c>
      <c r="O415" s="91">
        <f t="shared" si="156"/>
        <v>13731000</v>
      </c>
      <c r="P415" s="91">
        <f t="shared" si="156"/>
        <v>32652000</v>
      </c>
      <c r="Q415" s="91">
        <f t="shared" si="156"/>
        <v>1980000</v>
      </c>
      <c r="R415" s="91">
        <f t="shared" si="156"/>
        <v>141680141</v>
      </c>
      <c r="S415" s="91">
        <f t="shared" si="156"/>
        <v>34382000</v>
      </c>
      <c r="T415" s="91"/>
      <c r="U415" s="91"/>
      <c r="V415" s="91"/>
      <c r="W415" s="91">
        <f t="shared" si="156"/>
        <v>319110860</v>
      </c>
      <c r="X415" s="91">
        <f>X401+W414</f>
        <v>4695198256</v>
      </c>
    </row>
    <row r="416" spans="1:24" x14ac:dyDescent="0.2">
      <c r="A416" s="52"/>
      <c r="B416" s="52"/>
      <c r="C416" s="52"/>
      <c r="D416" s="52"/>
      <c r="E416" s="52"/>
      <c r="F416" s="52"/>
      <c r="G416" s="52"/>
      <c r="H416" s="91"/>
      <c r="I416" s="52"/>
      <c r="J416" s="52"/>
      <c r="K416" s="52"/>
      <c r="L416" s="52"/>
      <c r="M416" s="52"/>
      <c r="N416" s="52"/>
      <c r="O416" s="52"/>
      <c r="P416" s="52"/>
      <c r="Q416" s="52"/>
      <c r="R416" s="52"/>
      <c r="S416" s="91"/>
      <c r="T416" s="91"/>
      <c r="U416" s="91"/>
      <c r="V416" s="91"/>
      <c r="W416" s="52"/>
      <c r="X416" s="91"/>
    </row>
    <row r="417" spans="1:24" x14ac:dyDescent="0.2">
      <c r="A417" s="117" t="s">
        <v>43</v>
      </c>
      <c r="B417" s="91">
        <v>499200</v>
      </c>
      <c r="C417" s="91">
        <v>2364000</v>
      </c>
      <c r="D417" s="91">
        <v>2856000</v>
      </c>
      <c r="E417" s="91">
        <v>0</v>
      </c>
      <c r="F417" s="91">
        <v>48000</v>
      </c>
      <c r="G417" s="91">
        <f>SUM(B417:F417)</f>
        <v>5767200</v>
      </c>
      <c r="H417" s="91"/>
      <c r="I417" s="91">
        <v>3960000</v>
      </c>
      <c r="J417" s="91">
        <v>0</v>
      </c>
      <c r="K417" s="91">
        <v>1524000</v>
      </c>
      <c r="L417" s="91">
        <v>1512000</v>
      </c>
      <c r="M417" s="91">
        <v>0</v>
      </c>
      <c r="N417" s="91">
        <v>96000</v>
      </c>
      <c r="O417" s="91">
        <v>0</v>
      </c>
      <c r="P417" s="91">
        <v>2748000</v>
      </c>
      <c r="Q417" s="91">
        <v>0</v>
      </c>
      <c r="R417" s="91">
        <f>SUM(I417:Q417)</f>
        <v>9840000</v>
      </c>
      <c r="S417" s="118">
        <v>0</v>
      </c>
      <c r="T417" s="118"/>
      <c r="U417" s="118"/>
      <c r="V417" s="118"/>
      <c r="W417" s="91">
        <f>R417+G417</f>
        <v>15607200</v>
      </c>
      <c r="X417" s="91"/>
    </row>
    <row r="418" spans="1:24" x14ac:dyDescent="0.2">
      <c r="A418" s="117" t="s">
        <v>42</v>
      </c>
      <c r="B418" s="91">
        <f t="shared" ref="B418:G418" si="157">B415+B417-B370</f>
        <v>2337600</v>
      </c>
      <c r="C418" s="91">
        <f t="shared" si="157"/>
        <v>37928136</v>
      </c>
      <c r="D418" s="91">
        <f t="shared" si="157"/>
        <v>44665336</v>
      </c>
      <c r="E418" s="91">
        <f t="shared" si="157"/>
        <v>29835352</v>
      </c>
      <c r="F418" s="91">
        <f t="shared" si="157"/>
        <v>28301495</v>
      </c>
      <c r="G418" s="91">
        <f t="shared" si="157"/>
        <v>143067919</v>
      </c>
      <c r="H418" s="91"/>
      <c r="I418" s="91">
        <f t="shared" ref="I418:W418" si="158">I415+I417-I370</f>
        <v>27027141</v>
      </c>
      <c r="J418" s="91">
        <f t="shared" si="158"/>
        <v>10197000</v>
      </c>
      <c r="K418" s="91">
        <f t="shared" si="158"/>
        <v>19860000</v>
      </c>
      <c r="L418" s="91">
        <f t="shared" si="158"/>
        <v>19938000</v>
      </c>
      <c r="M418" s="91">
        <f t="shared" si="158"/>
        <v>13194000</v>
      </c>
      <c r="N418" s="91">
        <f t="shared" si="158"/>
        <v>6256000</v>
      </c>
      <c r="O418" s="91">
        <f t="shared" si="158"/>
        <v>12291000</v>
      </c>
      <c r="P418" s="91">
        <f t="shared" si="158"/>
        <v>34050000</v>
      </c>
      <c r="Q418" s="91">
        <f t="shared" si="158"/>
        <v>1980000</v>
      </c>
      <c r="R418" s="91">
        <f t="shared" si="158"/>
        <v>144793141</v>
      </c>
      <c r="S418" s="91">
        <f t="shared" si="158"/>
        <v>34382000</v>
      </c>
      <c r="T418" s="91"/>
      <c r="U418" s="91"/>
      <c r="V418" s="91"/>
      <c r="W418" s="91">
        <f t="shared" si="158"/>
        <v>322243060</v>
      </c>
      <c r="X418" s="91">
        <f>X415+W417</f>
        <v>4710805456</v>
      </c>
    </row>
    <row r="419" spans="1:24" x14ac:dyDescent="0.2">
      <c r="A419" s="52"/>
      <c r="B419" s="91"/>
      <c r="C419" s="91"/>
      <c r="D419" s="91"/>
      <c r="E419" s="91"/>
      <c r="F419" s="91"/>
      <c r="G419" s="91"/>
      <c r="H419" s="91"/>
      <c r="I419" s="91"/>
      <c r="J419" s="91"/>
      <c r="K419" s="91"/>
      <c r="L419" s="91"/>
      <c r="M419" s="91"/>
      <c r="N419" s="91"/>
      <c r="O419" s="91"/>
      <c r="P419" s="91"/>
      <c r="Q419" s="91"/>
      <c r="R419" s="91"/>
      <c r="S419" s="91"/>
      <c r="T419" s="91"/>
      <c r="U419" s="91"/>
      <c r="V419" s="91"/>
      <c r="W419" s="91"/>
      <c r="X419" s="91"/>
    </row>
    <row r="420" spans="1:24" x14ac:dyDescent="0.2">
      <c r="A420" s="117" t="s">
        <v>44</v>
      </c>
      <c r="B420" s="91">
        <v>0</v>
      </c>
      <c r="C420" s="91">
        <v>2502000</v>
      </c>
      <c r="D420" s="91">
        <v>3108000</v>
      </c>
      <c r="E420" s="91">
        <v>0</v>
      </c>
      <c r="F420" s="91">
        <v>2976000</v>
      </c>
      <c r="G420" s="91">
        <f>SUM(B420:F420)</f>
        <v>8586000</v>
      </c>
      <c r="H420" s="91"/>
      <c r="I420" s="91">
        <v>1932000</v>
      </c>
      <c r="J420" s="91">
        <v>9000</v>
      </c>
      <c r="K420" s="91">
        <v>1266000</v>
      </c>
      <c r="L420" s="91">
        <v>1803000</v>
      </c>
      <c r="M420" s="91">
        <v>0</v>
      </c>
      <c r="N420" s="91">
        <v>502000</v>
      </c>
      <c r="O420" s="91">
        <v>897000</v>
      </c>
      <c r="P420" s="91">
        <v>3456000</v>
      </c>
      <c r="Q420" s="91">
        <v>0</v>
      </c>
      <c r="R420" s="91">
        <f>SUM(I420:Q420)</f>
        <v>9865000</v>
      </c>
      <c r="S420" s="91">
        <v>20000</v>
      </c>
      <c r="T420" s="91"/>
      <c r="U420" s="91"/>
      <c r="V420" s="91"/>
      <c r="W420" s="91">
        <f>R420+G420+S420</f>
        <v>18471000</v>
      </c>
      <c r="X420" s="91"/>
    </row>
    <row r="421" spans="1:24" x14ac:dyDescent="0.2">
      <c r="A421" s="117" t="s">
        <v>42</v>
      </c>
      <c r="B421" s="91">
        <f t="shared" ref="B421:G421" si="159">B418+B420-B373</f>
        <v>2337600</v>
      </c>
      <c r="C421" s="91">
        <f t="shared" si="159"/>
        <v>37358136</v>
      </c>
      <c r="D421" s="91">
        <f t="shared" si="159"/>
        <v>45901336</v>
      </c>
      <c r="E421" s="91">
        <f t="shared" si="159"/>
        <v>29835352</v>
      </c>
      <c r="F421" s="91">
        <f t="shared" si="159"/>
        <v>29513495</v>
      </c>
      <c r="G421" s="91">
        <f t="shared" si="159"/>
        <v>144945919</v>
      </c>
      <c r="H421" s="91"/>
      <c r="I421" s="91">
        <f t="shared" ref="I421:W421" si="160">I418+I420-I373</f>
        <v>28959141</v>
      </c>
      <c r="J421" s="91">
        <f t="shared" si="160"/>
        <v>10206000</v>
      </c>
      <c r="K421" s="91">
        <f t="shared" si="160"/>
        <v>19401000</v>
      </c>
      <c r="L421" s="91">
        <f t="shared" si="160"/>
        <v>19926000</v>
      </c>
      <c r="M421" s="91">
        <f t="shared" si="160"/>
        <v>13194000</v>
      </c>
      <c r="N421" s="91">
        <f t="shared" si="160"/>
        <v>6076000</v>
      </c>
      <c r="O421" s="91">
        <f t="shared" si="160"/>
        <v>11772000</v>
      </c>
      <c r="P421" s="91">
        <f t="shared" si="160"/>
        <v>36276000</v>
      </c>
      <c r="Q421" s="91">
        <f t="shared" si="160"/>
        <v>1980000</v>
      </c>
      <c r="R421" s="91">
        <f t="shared" si="160"/>
        <v>147790141</v>
      </c>
      <c r="S421" s="91">
        <f t="shared" si="160"/>
        <v>34402000</v>
      </c>
      <c r="T421" s="91"/>
      <c r="U421" s="91"/>
      <c r="V421" s="91"/>
      <c r="W421" s="91">
        <f t="shared" si="160"/>
        <v>327138060</v>
      </c>
      <c r="X421" s="91">
        <f>X418+W420</f>
        <v>4729276456</v>
      </c>
    </row>
    <row r="422" spans="1:24" x14ac:dyDescent="0.2">
      <c r="A422" s="52"/>
      <c r="B422" s="52"/>
      <c r="C422" s="52"/>
      <c r="D422" s="52"/>
      <c r="E422" s="52"/>
      <c r="F422" s="52"/>
      <c r="G422" s="52"/>
      <c r="H422" s="91"/>
      <c r="I422" s="52"/>
      <c r="J422" s="52"/>
      <c r="K422" s="52"/>
      <c r="L422" s="52"/>
      <c r="M422" s="52"/>
      <c r="N422" s="52"/>
      <c r="O422" s="52"/>
      <c r="P422" s="52"/>
      <c r="Q422" s="52"/>
      <c r="R422" s="52"/>
      <c r="S422" s="91"/>
      <c r="T422" s="91"/>
      <c r="U422" s="91"/>
      <c r="V422" s="91"/>
      <c r="W422" s="52"/>
      <c r="X422" s="91"/>
    </row>
    <row r="423" spans="1:24" x14ac:dyDescent="0.2">
      <c r="A423" s="117" t="s">
        <v>45</v>
      </c>
      <c r="B423" s="91">
        <v>115200</v>
      </c>
      <c r="C423" s="91">
        <v>3024000</v>
      </c>
      <c r="D423" s="91">
        <v>3516000</v>
      </c>
      <c r="E423" s="91">
        <v>3492000</v>
      </c>
      <c r="F423" s="91">
        <v>2658000</v>
      </c>
      <c r="G423" s="91">
        <f>SUM(B423:F423)</f>
        <v>12805200</v>
      </c>
      <c r="H423" s="91"/>
      <c r="I423" s="91">
        <v>4128000</v>
      </c>
      <c r="J423" s="91">
        <v>99000</v>
      </c>
      <c r="K423" s="91">
        <v>1569000</v>
      </c>
      <c r="L423" s="91">
        <v>1710000</v>
      </c>
      <c r="M423" s="91">
        <v>0</v>
      </c>
      <c r="N423" s="91">
        <v>954000</v>
      </c>
      <c r="O423" s="91">
        <v>1377000</v>
      </c>
      <c r="P423" s="91">
        <v>3216000</v>
      </c>
      <c r="Q423" s="91">
        <v>612000</v>
      </c>
      <c r="R423" s="91">
        <f>SUM(I423:Q423)</f>
        <v>13665000</v>
      </c>
      <c r="S423" s="91">
        <v>6232000</v>
      </c>
      <c r="T423" s="91"/>
      <c r="U423" s="91"/>
      <c r="V423" s="91"/>
      <c r="W423" s="91">
        <f>R423+G423+S423</f>
        <v>32702200</v>
      </c>
      <c r="X423" s="91"/>
    </row>
    <row r="424" spans="1:24" x14ac:dyDescent="0.2">
      <c r="A424" s="117" t="s">
        <v>42</v>
      </c>
      <c r="B424" s="91">
        <f t="shared" ref="B424:G424" si="161">B421+B423-B376</f>
        <v>2452800</v>
      </c>
      <c r="C424" s="91">
        <f t="shared" si="161"/>
        <v>36920136</v>
      </c>
      <c r="D424" s="91">
        <f t="shared" si="161"/>
        <v>45829336</v>
      </c>
      <c r="E424" s="91">
        <f t="shared" si="161"/>
        <v>27855352</v>
      </c>
      <c r="F424" s="91">
        <f t="shared" si="161"/>
        <v>29279495</v>
      </c>
      <c r="G424" s="91">
        <f t="shared" si="161"/>
        <v>142337119</v>
      </c>
      <c r="H424" s="91"/>
      <c r="I424" s="91">
        <f t="shared" ref="I424:W424" si="162">I421+I423-I376</f>
        <v>31743141</v>
      </c>
      <c r="J424" s="91">
        <f t="shared" si="162"/>
        <v>10305000</v>
      </c>
      <c r="K424" s="91">
        <f t="shared" si="162"/>
        <v>19185000</v>
      </c>
      <c r="L424" s="91">
        <f t="shared" si="162"/>
        <v>19848000</v>
      </c>
      <c r="M424" s="91">
        <f t="shared" si="162"/>
        <v>10476000</v>
      </c>
      <c r="N424" s="91">
        <f t="shared" si="162"/>
        <v>6274000</v>
      </c>
      <c r="O424" s="91">
        <f t="shared" si="162"/>
        <v>11910000</v>
      </c>
      <c r="P424" s="91">
        <f t="shared" si="162"/>
        <v>36312000</v>
      </c>
      <c r="Q424" s="91">
        <f t="shared" si="162"/>
        <v>2592000</v>
      </c>
      <c r="R424" s="91">
        <f t="shared" si="162"/>
        <v>148645141</v>
      </c>
      <c r="S424" s="91">
        <f t="shared" si="162"/>
        <v>35696000</v>
      </c>
      <c r="T424" s="91"/>
      <c r="U424" s="91"/>
      <c r="V424" s="91"/>
      <c r="W424" s="91">
        <f t="shared" si="162"/>
        <v>326678260</v>
      </c>
      <c r="X424" s="91">
        <f>X421+W423</f>
        <v>4761978656</v>
      </c>
    </row>
    <row r="425" spans="1:24" x14ac:dyDescent="0.2">
      <c r="A425" s="52"/>
      <c r="B425" s="52"/>
      <c r="C425" s="52"/>
      <c r="D425" s="52"/>
      <c r="E425" s="52"/>
      <c r="F425" s="52"/>
      <c r="G425" s="52"/>
      <c r="H425" s="91"/>
      <c r="I425" s="52"/>
      <c r="J425" s="52"/>
      <c r="K425" s="52"/>
      <c r="L425" s="52"/>
      <c r="M425" s="52"/>
      <c r="N425" s="52"/>
      <c r="O425" s="52"/>
      <c r="P425" s="52"/>
      <c r="Q425" s="52"/>
      <c r="R425" s="52"/>
      <c r="S425" s="91"/>
      <c r="T425" s="91"/>
      <c r="U425" s="91"/>
      <c r="V425" s="91"/>
      <c r="W425" s="52"/>
      <c r="X425" s="91"/>
    </row>
    <row r="426" spans="1:24" x14ac:dyDescent="0.2">
      <c r="A426" s="117" t="s">
        <v>46</v>
      </c>
      <c r="B426" s="91">
        <v>571200</v>
      </c>
      <c r="C426" s="91">
        <v>3348000</v>
      </c>
      <c r="D426" s="91">
        <v>6168000</v>
      </c>
      <c r="E426" s="91">
        <v>2916000</v>
      </c>
      <c r="F426" s="91">
        <v>2988000</v>
      </c>
      <c r="G426" s="91">
        <f>SUM(B426:F426)</f>
        <v>15991200</v>
      </c>
      <c r="H426" s="91"/>
      <c r="I426" s="91">
        <v>5100000</v>
      </c>
      <c r="J426" s="91">
        <v>3132000</v>
      </c>
      <c r="K426" s="91">
        <v>1683000</v>
      </c>
      <c r="L426" s="91">
        <v>1518000</v>
      </c>
      <c r="M426" s="91">
        <v>1818000</v>
      </c>
      <c r="N426" s="91">
        <v>790000</v>
      </c>
      <c r="O426" s="91">
        <v>93000</v>
      </c>
      <c r="P426" s="91">
        <v>3372000</v>
      </c>
      <c r="Q426" s="91">
        <v>1940000</v>
      </c>
      <c r="R426" s="91">
        <f>SUM(I426:Q426)</f>
        <v>19446000</v>
      </c>
      <c r="S426" s="91">
        <v>5884000</v>
      </c>
      <c r="T426" s="91"/>
      <c r="U426" s="91"/>
      <c r="V426" s="91"/>
      <c r="W426" s="91">
        <f>R426+G426+S426</f>
        <v>41321200</v>
      </c>
      <c r="X426" s="91"/>
    </row>
    <row r="427" spans="1:24" x14ac:dyDescent="0.2">
      <c r="A427" s="117" t="s">
        <v>42</v>
      </c>
      <c r="B427" s="91">
        <f t="shared" ref="B427:G427" si="163">B424+B426-B379</f>
        <v>3024000</v>
      </c>
      <c r="C427" s="91">
        <f t="shared" si="163"/>
        <v>36716136</v>
      </c>
      <c r="D427" s="91">
        <f t="shared" si="163"/>
        <v>48625336</v>
      </c>
      <c r="E427" s="91">
        <f t="shared" si="163"/>
        <v>25353352</v>
      </c>
      <c r="F427" s="91">
        <f t="shared" si="163"/>
        <v>29267495</v>
      </c>
      <c r="G427" s="91">
        <f t="shared" si="163"/>
        <v>142986319</v>
      </c>
      <c r="H427" s="91"/>
      <c r="I427" s="91">
        <f t="shared" ref="I427:W427" si="164">I424+I426-I379</f>
        <v>35247141</v>
      </c>
      <c r="J427" s="91">
        <f t="shared" si="164"/>
        <v>13437000</v>
      </c>
      <c r="K427" s="91">
        <f t="shared" si="164"/>
        <v>19059000</v>
      </c>
      <c r="L427" s="91">
        <f t="shared" si="164"/>
        <v>19617000</v>
      </c>
      <c r="M427" s="91">
        <f t="shared" si="164"/>
        <v>10440000</v>
      </c>
      <c r="N427" s="91">
        <f t="shared" si="164"/>
        <v>6134000</v>
      </c>
      <c r="O427" s="91">
        <f t="shared" si="164"/>
        <v>10857000</v>
      </c>
      <c r="P427" s="91">
        <f t="shared" si="164"/>
        <v>36402000</v>
      </c>
      <c r="Q427" s="91">
        <f t="shared" si="164"/>
        <v>4532000</v>
      </c>
      <c r="R427" s="91">
        <f t="shared" si="164"/>
        <v>155725141</v>
      </c>
      <c r="S427" s="91">
        <f t="shared" si="164"/>
        <v>35282000</v>
      </c>
      <c r="T427" s="91"/>
      <c r="U427" s="91"/>
      <c r="V427" s="91"/>
      <c r="W427" s="91">
        <f t="shared" si="164"/>
        <v>333993460</v>
      </c>
      <c r="X427" s="91">
        <f>X424+W426</f>
        <v>4803299856</v>
      </c>
    </row>
    <row r="428" spans="1:24" x14ac:dyDescent="0.2">
      <c r="A428" s="52"/>
      <c r="B428" s="52"/>
      <c r="C428" s="52"/>
      <c r="D428" s="52"/>
      <c r="E428" s="52"/>
      <c r="F428" s="52"/>
      <c r="G428" s="52"/>
      <c r="H428" s="91"/>
      <c r="I428" s="52"/>
      <c r="J428" s="52"/>
      <c r="K428" s="52"/>
      <c r="L428" s="52"/>
      <c r="M428" s="52"/>
      <c r="N428" s="52"/>
      <c r="O428" s="52"/>
      <c r="P428" s="52"/>
      <c r="Q428" s="52"/>
      <c r="R428" s="52"/>
      <c r="S428" s="91"/>
      <c r="T428" s="91"/>
      <c r="U428" s="91"/>
      <c r="V428" s="91"/>
      <c r="W428" s="52"/>
      <c r="X428" s="91"/>
    </row>
    <row r="429" spans="1:24" x14ac:dyDescent="0.2">
      <c r="A429" s="117" t="s">
        <v>47</v>
      </c>
      <c r="B429" s="91">
        <v>557102</v>
      </c>
      <c r="C429" s="91">
        <v>3426000</v>
      </c>
      <c r="D429" s="91">
        <v>5844000</v>
      </c>
      <c r="E429" s="91">
        <v>3413872</v>
      </c>
      <c r="F429" s="91">
        <v>2604000</v>
      </c>
      <c r="G429" s="91">
        <f>SUM(B429:F429)</f>
        <v>15844974</v>
      </c>
      <c r="H429" s="91"/>
      <c r="I429" s="91">
        <v>4644000</v>
      </c>
      <c r="J429" s="91">
        <v>3087000</v>
      </c>
      <c r="K429" s="91">
        <v>1653000</v>
      </c>
      <c r="L429" s="91">
        <v>1578000</v>
      </c>
      <c r="M429" s="91">
        <v>1538100</v>
      </c>
      <c r="N429" s="91">
        <v>646981</v>
      </c>
      <c r="O429" s="91">
        <v>89700</v>
      </c>
      <c r="P429" s="91">
        <v>3286200</v>
      </c>
      <c r="Q429" s="91">
        <v>169200</v>
      </c>
      <c r="R429" s="91">
        <f>SUM(I429:Q429)</f>
        <v>16692181</v>
      </c>
      <c r="S429" s="91">
        <v>5509000</v>
      </c>
      <c r="T429" s="91"/>
      <c r="U429" s="91"/>
      <c r="V429" s="91"/>
      <c r="W429" s="91">
        <f>R429+G429+S429</f>
        <v>38046155</v>
      </c>
      <c r="X429" s="91"/>
    </row>
    <row r="430" spans="1:24" x14ac:dyDescent="0.2">
      <c r="A430" s="117" t="s">
        <v>42</v>
      </c>
      <c r="B430" s="91">
        <f t="shared" ref="B430:G430" si="165">B427+B429-B382</f>
        <v>3581102</v>
      </c>
      <c r="C430" s="91">
        <f t="shared" si="165"/>
        <v>36720000</v>
      </c>
      <c r="D430" s="91">
        <f t="shared" si="165"/>
        <v>51084000</v>
      </c>
      <c r="E430" s="91">
        <f t="shared" si="165"/>
        <v>26255872</v>
      </c>
      <c r="F430" s="91">
        <f t="shared" si="165"/>
        <v>29502000</v>
      </c>
      <c r="G430" s="91">
        <f t="shared" si="165"/>
        <v>147142974</v>
      </c>
      <c r="H430" s="91"/>
      <c r="I430" s="91">
        <f t="shared" ref="I430:W430" si="166">I427+I429-I382</f>
        <v>38088000</v>
      </c>
      <c r="J430" s="91">
        <f t="shared" si="166"/>
        <v>16524000</v>
      </c>
      <c r="K430" s="91">
        <f t="shared" si="166"/>
        <v>18963000</v>
      </c>
      <c r="L430" s="91">
        <f t="shared" si="166"/>
        <v>19467000</v>
      </c>
      <c r="M430" s="91">
        <f t="shared" si="166"/>
        <v>10133100</v>
      </c>
      <c r="N430" s="91">
        <f t="shared" si="166"/>
        <v>5946981</v>
      </c>
      <c r="O430" s="91">
        <f t="shared" si="166"/>
        <v>9614700</v>
      </c>
      <c r="P430" s="91">
        <f t="shared" si="166"/>
        <v>36364200</v>
      </c>
      <c r="Q430" s="91">
        <f t="shared" si="166"/>
        <v>4701200</v>
      </c>
      <c r="R430" s="91">
        <f t="shared" si="166"/>
        <v>159802181</v>
      </c>
      <c r="S430" s="91">
        <f t="shared" si="166"/>
        <v>34010000</v>
      </c>
      <c r="T430" s="91"/>
      <c r="U430" s="91"/>
      <c r="V430" s="91"/>
      <c r="W430" s="91">
        <f t="shared" si="166"/>
        <v>340955155</v>
      </c>
      <c r="X430" s="91">
        <f>X427+W429</f>
        <v>4841346011</v>
      </c>
    </row>
    <row r="431" spans="1:24" x14ac:dyDescent="0.2">
      <c r="A431" s="52"/>
      <c r="B431" s="52"/>
      <c r="C431" s="52"/>
      <c r="D431" s="52"/>
      <c r="E431" s="52"/>
      <c r="F431" s="52"/>
      <c r="G431" s="52"/>
      <c r="H431" s="91"/>
      <c r="I431" s="52"/>
      <c r="J431" s="52"/>
      <c r="K431" s="52"/>
      <c r="L431" s="52"/>
      <c r="M431" s="52"/>
      <c r="N431" s="52"/>
      <c r="O431" s="52"/>
      <c r="P431" s="52"/>
      <c r="Q431" s="52"/>
      <c r="R431" s="52"/>
      <c r="S431" s="119" t="s">
        <v>105</v>
      </c>
      <c r="T431" s="119"/>
      <c r="U431" s="119"/>
      <c r="V431" s="119"/>
      <c r="W431" s="52"/>
      <c r="X431" s="91"/>
    </row>
    <row r="432" spans="1:24" x14ac:dyDescent="0.2">
      <c r="A432" s="117" t="s">
        <v>48</v>
      </c>
      <c r="B432" s="91">
        <v>0</v>
      </c>
      <c r="C432" s="91">
        <v>3433477</v>
      </c>
      <c r="D432" s="91">
        <v>3350299</v>
      </c>
      <c r="E432" s="91">
        <v>4617000</v>
      </c>
      <c r="F432" s="91">
        <v>2889120</v>
      </c>
      <c r="G432" s="91">
        <f>SUM(B432:F432)</f>
        <v>14289896</v>
      </c>
      <c r="H432" s="91"/>
      <c r="I432" s="91">
        <v>1362442</v>
      </c>
      <c r="J432" s="91">
        <v>22500</v>
      </c>
      <c r="K432" s="91">
        <v>1701000</v>
      </c>
      <c r="L432" s="91">
        <v>1722000</v>
      </c>
      <c r="M432" s="91">
        <v>2799000</v>
      </c>
      <c r="N432" s="91">
        <v>370000</v>
      </c>
      <c r="O432" s="91">
        <v>1440000</v>
      </c>
      <c r="P432" s="91">
        <v>3510000</v>
      </c>
      <c r="Q432" s="91">
        <v>0</v>
      </c>
      <c r="R432" s="91">
        <f>SUM(I432:Q432)</f>
        <v>12926942</v>
      </c>
      <c r="S432" s="91">
        <v>5952000</v>
      </c>
      <c r="T432" s="91"/>
      <c r="U432" s="91"/>
      <c r="V432" s="91"/>
      <c r="W432" s="91">
        <f>R432+G432+S432</f>
        <v>33168838</v>
      </c>
      <c r="X432" s="91"/>
    </row>
    <row r="433" spans="1:24" x14ac:dyDescent="0.2">
      <c r="A433" s="117" t="s">
        <v>42</v>
      </c>
      <c r="B433" s="91">
        <f t="shared" ref="B433:G433" si="167">B430+B432-B385</f>
        <v>3581102</v>
      </c>
      <c r="C433" s="91">
        <f t="shared" si="167"/>
        <v>36799477</v>
      </c>
      <c r="D433" s="91">
        <f t="shared" si="167"/>
        <v>50474299</v>
      </c>
      <c r="E433" s="91">
        <f t="shared" si="167"/>
        <v>26300872</v>
      </c>
      <c r="F433" s="91">
        <f t="shared" si="167"/>
        <v>29301120</v>
      </c>
      <c r="G433" s="91">
        <f t="shared" si="167"/>
        <v>146456870</v>
      </c>
      <c r="H433" s="91"/>
      <c r="I433" s="91">
        <f t="shared" ref="I433:W433" si="168">I430+I432-I385</f>
        <v>37758442</v>
      </c>
      <c r="J433" s="91">
        <f t="shared" si="168"/>
        <v>16546500</v>
      </c>
      <c r="K433" s="91">
        <f t="shared" si="168"/>
        <v>19305000</v>
      </c>
      <c r="L433" s="91">
        <f t="shared" si="168"/>
        <v>19716000</v>
      </c>
      <c r="M433" s="91">
        <f t="shared" si="168"/>
        <v>10826100</v>
      </c>
      <c r="N433" s="91">
        <f t="shared" si="168"/>
        <v>5522981</v>
      </c>
      <c r="O433" s="91">
        <f t="shared" si="168"/>
        <v>9542700</v>
      </c>
      <c r="P433" s="91">
        <f t="shared" si="168"/>
        <v>36574200</v>
      </c>
      <c r="Q433" s="91">
        <f t="shared" si="168"/>
        <v>4701200</v>
      </c>
      <c r="R433" s="91">
        <f t="shared" si="168"/>
        <v>160493123</v>
      </c>
      <c r="S433" s="91">
        <f t="shared" si="168"/>
        <v>33807000</v>
      </c>
      <c r="T433" s="91"/>
      <c r="U433" s="91"/>
      <c r="V433" s="91"/>
      <c r="W433" s="91">
        <f t="shared" si="168"/>
        <v>340756993</v>
      </c>
      <c r="X433" s="91">
        <f>X430+W432</f>
        <v>4874514849</v>
      </c>
    </row>
    <row r="434" spans="1:24" x14ac:dyDescent="0.2">
      <c r="A434" s="52"/>
      <c r="B434" s="52"/>
      <c r="C434" s="52"/>
      <c r="D434" s="52"/>
      <c r="E434" s="52"/>
      <c r="F434" s="52"/>
      <c r="G434" s="52"/>
      <c r="H434" s="91"/>
      <c r="I434" s="52"/>
      <c r="J434" s="52"/>
      <c r="K434" s="52"/>
      <c r="L434" s="52"/>
      <c r="M434" s="52"/>
      <c r="N434" s="52"/>
      <c r="O434" s="52"/>
      <c r="P434" s="52"/>
      <c r="Q434" s="52"/>
      <c r="R434" s="52"/>
      <c r="S434" s="91"/>
      <c r="T434" s="91"/>
      <c r="U434" s="91"/>
      <c r="V434" s="91"/>
      <c r="W434" s="52"/>
      <c r="X434" s="91"/>
    </row>
    <row r="435" spans="1:24" x14ac:dyDescent="0.2">
      <c r="A435" s="117" t="s">
        <v>49</v>
      </c>
      <c r="B435" s="91">
        <v>0</v>
      </c>
      <c r="C435" s="91">
        <v>3456000</v>
      </c>
      <c r="D435" s="91">
        <v>2952000</v>
      </c>
      <c r="E435" s="91">
        <v>3861000</v>
      </c>
      <c r="F435" s="91">
        <v>3288000</v>
      </c>
      <c r="G435" s="91">
        <f>SUM(B435:F435)</f>
        <v>13557000</v>
      </c>
      <c r="H435" s="91"/>
      <c r="I435" s="91">
        <v>2112000</v>
      </c>
      <c r="J435" s="91">
        <v>108000</v>
      </c>
      <c r="K435" s="91">
        <v>1386000</v>
      </c>
      <c r="L435" s="91">
        <v>1560000</v>
      </c>
      <c r="M435" s="91">
        <v>1278000</v>
      </c>
      <c r="N435" s="91">
        <v>710000</v>
      </c>
      <c r="O435" s="91">
        <v>1749000</v>
      </c>
      <c r="P435" s="91">
        <v>3294000</v>
      </c>
      <c r="Q435" s="91">
        <v>0</v>
      </c>
      <c r="R435" s="91">
        <f>SUM(I435:Q435)</f>
        <v>12197000</v>
      </c>
      <c r="S435" s="91">
        <v>5105000</v>
      </c>
      <c r="T435" s="91"/>
      <c r="U435" s="91"/>
      <c r="V435" s="91"/>
      <c r="W435" s="91">
        <f>R435+G435+S435</f>
        <v>30859000</v>
      </c>
      <c r="X435" s="91"/>
    </row>
    <row r="436" spans="1:24" x14ac:dyDescent="0.2">
      <c r="A436" s="117" t="s">
        <v>42</v>
      </c>
      <c r="B436" s="91">
        <f t="shared" ref="B436:G436" si="169">B433+B435-B388</f>
        <v>3240302</v>
      </c>
      <c r="C436" s="91">
        <f t="shared" si="169"/>
        <v>36985477</v>
      </c>
      <c r="D436" s="91">
        <f t="shared" si="169"/>
        <v>47726299</v>
      </c>
      <c r="E436" s="91">
        <f t="shared" si="169"/>
        <v>24626872</v>
      </c>
      <c r="F436" s="91">
        <f t="shared" si="169"/>
        <v>29487120</v>
      </c>
      <c r="G436" s="91">
        <f t="shared" si="169"/>
        <v>142066070</v>
      </c>
      <c r="H436" s="91"/>
      <c r="I436" s="91">
        <f t="shared" ref="I436:W436" si="170">I433+I435-I388</f>
        <v>35418442</v>
      </c>
      <c r="J436" s="91">
        <f t="shared" si="170"/>
        <v>13729500</v>
      </c>
      <c r="K436" s="91">
        <f t="shared" si="170"/>
        <v>19020000</v>
      </c>
      <c r="L436" s="91">
        <f t="shared" si="170"/>
        <v>19614000</v>
      </c>
      <c r="M436" s="91">
        <f t="shared" si="170"/>
        <v>9881100</v>
      </c>
      <c r="N436" s="91">
        <f t="shared" si="170"/>
        <v>5504981</v>
      </c>
      <c r="O436" s="91">
        <f t="shared" si="170"/>
        <v>10049700</v>
      </c>
      <c r="P436" s="91">
        <f t="shared" si="170"/>
        <v>36670200</v>
      </c>
      <c r="Q436" s="91">
        <f t="shared" si="170"/>
        <v>4701200</v>
      </c>
      <c r="R436" s="91">
        <f t="shared" si="170"/>
        <v>154589123</v>
      </c>
      <c r="S436" s="91">
        <f t="shared" si="170"/>
        <v>33066000</v>
      </c>
      <c r="T436" s="91"/>
      <c r="U436" s="91"/>
      <c r="V436" s="91"/>
      <c r="W436" s="91">
        <f t="shared" si="170"/>
        <v>329721193</v>
      </c>
      <c r="X436" s="91">
        <f>X433+W435</f>
        <v>4905373849</v>
      </c>
    </row>
    <row r="437" spans="1:24" x14ac:dyDescent="0.2">
      <c r="A437" s="52"/>
      <c r="B437" s="52"/>
      <c r="C437" s="52"/>
      <c r="D437" s="52"/>
      <c r="E437" s="52"/>
      <c r="F437" s="52"/>
      <c r="G437" s="52"/>
      <c r="H437" s="91"/>
      <c r="I437" s="52"/>
      <c r="J437" s="52"/>
      <c r="K437" s="52"/>
      <c r="L437" s="52"/>
      <c r="M437" s="52"/>
      <c r="N437" s="52"/>
      <c r="O437" s="52"/>
      <c r="P437" s="52"/>
      <c r="Q437" s="52"/>
      <c r="R437" s="52"/>
      <c r="S437" s="91"/>
      <c r="T437" s="91"/>
      <c r="U437" s="91"/>
      <c r="V437" s="91"/>
      <c r="W437" s="52"/>
      <c r="X437" s="91"/>
    </row>
    <row r="438" spans="1:24" x14ac:dyDescent="0.2">
      <c r="A438" s="117" t="s">
        <v>50</v>
      </c>
      <c r="B438" s="91">
        <v>0</v>
      </c>
      <c r="C438" s="91">
        <v>3150000</v>
      </c>
      <c r="D438" s="91">
        <v>2448000</v>
      </c>
      <c r="E438" s="91">
        <v>3735000</v>
      </c>
      <c r="F438" s="91">
        <v>2808000</v>
      </c>
      <c r="G438" s="91">
        <f>SUM(B438:F438)</f>
        <v>12141000</v>
      </c>
      <c r="H438" s="91"/>
      <c r="I438" s="91">
        <v>1740000</v>
      </c>
      <c r="J438" s="91">
        <v>270000</v>
      </c>
      <c r="K438" s="91">
        <v>1359000</v>
      </c>
      <c r="L438" s="91">
        <v>1575000</v>
      </c>
      <c r="M438" s="91">
        <v>0</v>
      </c>
      <c r="N438" s="91">
        <v>718000</v>
      </c>
      <c r="O438" s="91">
        <v>1641000</v>
      </c>
      <c r="P438" s="91">
        <v>2718000</v>
      </c>
      <c r="Q438" s="91">
        <v>0</v>
      </c>
      <c r="R438" s="91">
        <f>SUM(I438:Q438)</f>
        <v>10021000</v>
      </c>
      <c r="S438" s="91">
        <v>4169000</v>
      </c>
      <c r="T438" s="91"/>
      <c r="U438" s="91"/>
      <c r="V438" s="91"/>
      <c r="W438" s="91">
        <f>R438+G438+S438</f>
        <v>26331000</v>
      </c>
      <c r="X438" s="91"/>
    </row>
    <row r="439" spans="1:24" x14ac:dyDescent="0.2">
      <c r="A439" s="117" t="s">
        <v>42</v>
      </c>
      <c r="B439" s="91">
        <f t="shared" ref="B439:G439" si="171">B436+B438-B391</f>
        <v>2640302</v>
      </c>
      <c r="C439" s="91">
        <f t="shared" si="171"/>
        <v>36943477</v>
      </c>
      <c r="D439" s="91">
        <f t="shared" si="171"/>
        <v>44798299</v>
      </c>
      <c r="E439" s="91">
        <f t="shared" si="171"/>
        <v>23825872</v>
      </c>
      <c r="F439" s="91">
        <f t="shared" si="171"/>
        <v>29265120</v>
      </c>
      <c r="G439" s="91">
        <f t="shared" si="171"/>
        <v>137473070</v>
      </c>
      <c r="H439" s="91"/>
      <c r="I439" s="91">
        <f t="shared" ref="I439:W439" si="172">I436+I438-I391</f>
        <v>32658442</v>
      </c>
      <c r="J439" s="91">
        <f t="shared" si="172"/>
        <v>10885500</v>
      </c>
      <c r="K439" s="91">
        <f t="shared" si="172"/>
        <v>19005000</v>
      </c>
      <c r="L439" s="91">
        <f t="shared" si="172"/>
        <v>19878000</v>
      </c>
      <c r="M439" s="91">
        <f t="shared" si="172"/>
        <v>7433100</v>
      </c>
      <c r="N439" s="91">
        <f t="shared" si="172"/>
        <v>5602981</v>
      </c>
      <c r="O439" s="91">
        <f t="shared" si="172"/>
        <v>10937700</v>
      </c>
      <c r="P439" s="91">
        <f t="shared" si="172"/>
        <v>36388200</v>
      </c>
      <c r="Q439" s="91">
        <f t="shared" si="172"/>
        <v>4701200</v>
      </c>
      <c r="R439" s="91">
        <f t="shared" si="172"/>
        <v>147490123</v>
      </c>
      <c r="S439" s="91">
        <f t="shared" si="172"/>
        <v>32871000</v>
      </c>
      <c r="T439" s="91"/>
      <c r="U439" s="91"/>
      <c r="V439" s="91"/>
      <c r="W439" s="91">
        <f t="shared" si="172"/>
        <v>317834193</v>
      </c>
      <c r="X439" s="91">
        <f>X436+W438</f>
        <v>4931704849</v>
      </c>
    </row>
    <row r="440" spans="1:24" x14ac:dyDescent="0.2">
      <c r="A440" s="52"/>
      <c r="B440" s="52"/>
      <c r="C440" s="52"/>
      <c r="D440" s="52"/>
      <c r="E440" s="52"/>
      <c r="F440" s="52"/>
      <c r="G440" s="52"/>
      <c r="H440" s="91"/>
      <c r="I440" s="52"/>
      <c r="J440" s="52"/>
      <c r="K440" s="52"/>
      <c r="L440" s="52"/>
      <c r="M440" s="52"/>
      <c r="N440" s="52"/>
      <c r="O440" s="52"/>
      <c r="P440" s="52"/>
      <c r="Q440" s="52"/>
      <c r="R440" s="52"/>
      <c r="S440" s="91"/>
      <c r="T440" s="91"/>
      <c r="U440" s="91"/>
      <c r="V440" s="91"/>
      <c r="W440" s="52"/>
      <c r="X440" s="91"/>
    </row>
    <row r="441" spans="1:24" x14ac:dyDescent="0.2">
      <c r="A441" s="117" t="s">
        <v>51</v>
      </c>
      <c r="B441" s="91">
        <v>48000</v>
      </c>
      <c r="C441" s="91">
        <v>2856000</v>
      </c>
      <c r="D441" s="91">
        <v>4224000</v>
      </c>
      <c r="E441" s="91">
        <v>3384000</v>
      </c>
      <c r="F441" s="91">
        <v>2034000</v>
      </c>
      <c r="G441" s="91">
        <f>SUM(B441:F441)</f>
        <v>12546000</v>
      </c>
      <c r="H441" s="91"/>
      <c r="I441" s="91">
        <v>336000</v>
      </c>
      <c r="J441" s="91">
        <v>0</v>
      </c>
      <c r="K441" s="91">
        <v>1368000</v>
      </c>
      <c r="L441" s="91">
        <v>1458000</v>
      </c>
      <c r="M441" s="91">
        <v>0</v>
      </c>
      <c r="N441" s="91">
        <v>758000</v>
      </c>
      <c r="O441" s="91">
        <v>1563000</v>
      </c>
      <c r="P441" s="91">
        <v>2838000</v>
      </c>
      <c r="Q441" s="91">
        <v>0</v>
      </c>
      <c r="R441" s="91">
        <f>SUM(I441:Q441)</f>
        <v>8321000</v>
      </c>
      <c r="S441" s="91">
        <v>0</v>
      </c>
      <c r="T441" s="91"/>
      <c r="U441" s="91"/>
      <c r="V441" s="91"/>
      <c r="W441" s="91">
        <f>R441+G441+S441</f>
        <v>20867000</v>
      </c>
      <c r="X441" s="91"/>
    </row>
    <row r="442" spans="1:24" x14ac:dyDescent="0.2">
      <c r="A442" s="117" t="s">
        <v>42</v>
      </c>
      <c r="B442" s="91">
        <f t="shared" ref="B442:G442" si="173">B439+B441-B394</f>
        <v>2083502</v>
      </c>
      <c r="C442" s="91">
        <f t="shared" si="173"/>
        <v>36571477</v>
      </c>
      <c r="D442" s="91">
        <f t="shared" si="173"/>
        <v>43094299</v>
      </c>
      <c r="E442" s="91">
        <f t="shared" si="173"/>
        <v>27191872</v>
      </c>
      <c r="F442" s="91">
        <f t="shared" si="173"/>
        <v>28185120</v>
      </c>
      <c r="G442" s="91">
        <f t="shared" si="173"/>
        <v>137126270</v>
      </c>
      <c r="H442" s="91"/>
      <c r="I442" s="91">
        <f t="shared" ref="I442:W442" si="174">I439+I441-I394</f>
        <v>27474442</v>
      </c>
      <c r="J442" s="91">
        <f t="shared" si="174"/>
        <v>6943500</v>
      </c>
      <c r="K442" s="91">
        <f t="shared" si="174"/>
        <v>18588000</v>
      </c>
      <c r="L442" s="91">
        <f t="shared" si="174"/>
        <v>19554000</v>
      </c>
      <c r="M442" s="91">
        <f t="shared" si="174"/>
        <v>7433100</v>
      </c>
      <c r="N442" s="91">
        <f t="shared" si="174"/>
        <v>5758981</v>
      </c>
      <c r="O442" s="91">
        <f t="shared" si="174"/>
        <v>12500700</v>
      </c>
      <c r="P442" s="91">
        <f t="shared" si="174"/>
        <v>36136200</v>
      </c>
      <c r="Q442" s="91">
        <f t="shared" si="174"/>
        <v>2721200</v>
      </c>
      <c r="R442" s="91">
        <f t="shared" si="174"/>
        <v>137110123</v>
      </c>
      <c r="S442" s="91">
        <f t="shared" si="174"/>
        <v>32871000</v>
      </c>
      <c r="T442" s="91"/>
      <c r="U442" s="91"/>
      <c r="V442" s="91"/>
      <c r="W442" s="91">
        <f t="shared" si="174"/>
        <v>307107393</v>
      </c>
      <c r="X442" s="91">
        <f>X439+W441</f>
        <v>4952571849</v>
      </c>
    </row>
    <row r="443" spans="1:24" x14ac:dyDescent="0.2">
      <c r="A443" s="52"/>
      <c r="B443" s="52"/>
      <c r="C443" s="52"/>
      <c r="D443" s="52"/>
      <c r="E443" s="52"/>
      <c r="F443" s="52"/>
      <c r="G443" s="52"/>
      <c r="H443" s="91"/>
      <c r="I443" s="52"/>
      <c r="J443" s="52"/>
      <c r="K443" s="52"/>
      <c r="L443" s="52"/>
      <c r="M443" s="52"/>
      <c r="N443" s="52"/>
      <c r="O443" s="52"/>
      <c r="P443" s="52"/>
      <c r="Q443" s="52"/>
      <c r="R443" s="52"/>
      <c r="S443" s="91"/>
      <c r="T443" s="91"/>
      <c r="U443" s="91"/>
      <c r="V443" s="91"/>
      <c r="W443" s="52"/>
      <c r="X443" s="91"/>
    </row>
    <row r="444" spans="1:24" x14ac:dyDescent="0.2">
      <c r="A444" s="117" t="s">
        <v>52</v>
      </c>
      <c r="B444" s="91">
        <v>19200</v>
      </c>
      <c r="C444" s="91">
        <v>2658000</v>
      </c>
      <c r="D444" s="91">
        <v>4044000</v>
      </c>
      <c r="E444" s="91">
        <v>693000</v>
      </c>
      <c r="F444" s="91">
        <v>2676000</v>
      </c>
      <c r="G444" s="91">
        <f>SUM(B444:F444)</f>
        <v>10090200</v>
      </c>
      <c r="H444" s="91"/>
      <c r="I444" s="91">
        <v>144000</v>
      </c>
      <c r="J444" s="91">
        <v>0</v>
      </c>
      <c r="K444" s="91">
        <v>1683000</v>
      </c>
      <c r="L444" s="91">
        <v>1680000</v>
      </c>
      <c r="M444" s="91">
        <v>0</v>
      </c>
      <c r="N444" s="91">
        <v>244000</v>
      </c>
      <c r="O444" s="91">
        <v>1512000</v>
      </c>
      <c r="P444" s="91">
        <v>2940000</v>
      </c>
      <c r="Q444" s="91">
        <v>0</v>
      </c>
      <c r="R444" s="91">
        <f>SUM(I444:Q444)</f>
        <v>8203000</v>
      </c>
      <c r="S444" s="91">
        <v>0</v>
      </c>
      <c r="T444" s="91"/>
      <c r="U444" s="91"/>
      <c r="V444" s="91"/>
      <c r="W444" s="91">
        <f>R444+G444+S444</f>
        <v>18293200</v>
      </c>
      <c r="X444" s="91"/>
    </row>
    <row r="445" spans="1:24" x14ac:dyDescent="0.2">
      <c r="A445" s="117" t="s">
        <v>42</v>
      </c>
      <c r="B445" s="91">
        <f t="shared" ref="B445:G445" si="175">B442+B444-B397</f>
        <v>2064302</v>
      </c>
      <c r="C445" s="91">
        <f t="shared" si="175"/>
        <v>36469477</v>
      </c>
      <c r="D445" s="91">
        <f t="shared" si="175"/>
        <v>42830299</v>
      </c>
      <c r="E445" s="91">
        <f t="shared" si="175"/>
        <v>27884872</v>
      </c>
      <c r="F445" s="91">
        <f t="shared" si="175"/>
        <v>28395120</v>
      </c>
      <c r="G445" s="91">
        <f t="shared" si="175"/>
        <v>137644070</v>
      </c>
      <c r="H445" s="91"/>
      <c r="I445" s="91">
        <f t="shared" ref="I445:W445" si="176">I442+I444-I397</f>
        <v>26910442</v>
      </c>
      <c r="J445" s="91">
        <f t="shared" si="176"/>
        <v>6727500</v>
      </c>
      <c r="K445" s="91">
        <f t="shared" si="176"/>
        <v>18654000</v>
      </c>
      <c r="L445" s="91">
        <f t="shared" si="176"/>
        <v>19620000</v>
      </c>
      <c r="M445" s="91">
        <f t="shared" si="176"/>
        <v>7433100</v>
      </c>
      <c r="N445" s="91">
        <f t="shared" si="176"/>
        <v>5788981</v>
      </c>
      <c r="O445" s="91">
        <f t="shared" si="176"/>
        <v>12884700</v>
      </c>
      <c r="P445" s="91">
        <f t="shared" si="176"/>
        <v>36778200</v>
      </c>
      <c r="Q445" s="91">
        <f t="shared" si="176"/>
        <v>2721200</v>
      </c>
      <c r="R445" s="91">
        <f t="shared" si="176"/>
        <v>137518123</v>
      </c>
      <c r="S445" s="91">
        <f t="shared" si="176"/>
        <v>32871000</v>
      </c>
      <c r="T445" s="91"/>
      <c r="U445" s="91"/>
      <c r="V445" s="91"/>
      <c r="W445" s="91">
        <f t="shared" si="176"/>
        <v>308033193</v>
      </c>
      <c r="X445" s="91">
        <f>X442+W444</f>
        <v>4970865049</v>
      </c>
    </row>
    <row r="446" spans="1:24" x14ac:dyDescent="0.2">
      <c r="A446" s="52"/>
      <c r="B446" s="52"/>
      <c r="C446" s="52"/>
      <c r="D446" s="52"/>
      <c r="E446" s="52"/>
      <c r="F446" s="52"/>
      <c r="G446" s="52"/>
      <c r="H446" s="91"/>
      <c r="I446" s="52"/>
      <c r="J446" s="52"/>
      <c r="K446" s="52"/>
      <c r="L446" s="52"/>
      <c r="M446" s="52"/>
      <c r="N446" s="52"/>
      <c r="O446" s="52"/>
      <c r="P446" s="52"/>
      <c r="Q446" s="52"/>
      <c r="R446" s="52"/>
      <c r="S446" s="91"/>
      <c r="T446" s="91"/>
      <c r="U446" s="91"/>
      <c r="V446" s="91"/>
      <c r="W446" s="52"/>
      <c r="X446" s="91"/>
    </row>
    <row r="447" spans="1:24" x14ac:dyDescent="0.2">
      <c r="A447" s="117" t="s">
        <v>53</v>
      </c>
      <c r="B447" s="91">
        <v>0</v>
      </c>
      <c r="C447" s="91">
        <v>2982000</v>
      </c>
      <c r="D447" s="91">
        <v>2436000</v>
      </c>
      <c r="E447" s="91">
        <v>1296000</v>
      </c>
      <c r="F447" s="91">
        <v>1638000</v>
      </c>
      <c r="G447" s="91">
        <f>SUM(B447:F447)</f>
        <v>8352000</v>
      </c>
      <c r="H447" s="91"/>
      <c r="I447" s="91">
        <v>0</v>
      </c>
      <c r="J447" s="91">
        <v>0</v>
      </c>
      <c r="K447" s="91">
        <v>1830000</v>
      </c>
      <c r="L447" s="91">
        <v>1821000</v>
      </c>
      <c r="M447" s="91">
        <v>0</v>
      </c>
      <c r="N447" s="91">
        <v>0</v>
      </c>
      <c r="O447" s="91">
        <v>1827000</v>
      </c>
      <c r="P447" s="91">
        <v>2742000</v>
      </c>
      <c r="Q447" s="91">
        <v>0</v>
      </c>
      <c r="R447" s="91">
        <f>SUM(I447:Q447)</f>
        <v>8220000</v>
      </c>
      <c r="S447" s="91">
        <v>0</v>
      </c>
      <c r="T447" s="91"/>
      <c r="U447" s="91"/>
      <c r="V447" s="91"/>
      <c r="W447" s="91">
        <f>R447+G447+S447</f>
        <v>16572000</v>
      </c>
      <c r="X447" s="91"/>
    </row>
    <row r="448" spans="1:24" x14ac:dyDescent="0.2">
      <c r="A448" s="117" t="s">
        <v>42</v>
      </c>
      <c r="B448" s="91">
        <f t="shared" ref="B448:G448" si="177">B445+B447-B400</f>
        <v>2064302</v>
      </c>
      <c r="C448" s="91">
        <f t="shared" si="177"/>
        <v>36409477</v>
      </c>
      <c r="D448" s="91">
        <f t="shared" si="177"/>
        <v>42458299</v>
      </c>
      <c r="E448" s="91">
        <f t="shared" si="177"/>
        <v>27758872</v>
      </c>
      <c r="F448" s="91">
        <f t="shared" si="177"/>
        <v>27789120</v>
      </c>
      <c r="G448" s="91">
        <f t="shared" si="177"/>
        <v>136480070</v>
      </c>
      <c r="H448" s="91"/>
      <c r="I448" s="91">
        <f t="shared" ref="I448:W448" si="178">I445+I447-I400</f>
        <v>26910442</v>
      </c>
      <c r="J448" s="91">
        <f t="shared" si="178"/>
        <v>6727500</v>
      </c>
      <c r="K448" s="91">
        <f t="shared" si="178"/>
        <v>18678000</v>
      </c>
      <c r="L448" s="91">
        <f t="shared" si="178"/>
        <v>19584000</v>
      </c>
      <c r="M448" s="91">
        <f t="shared" si="178"/>
        <v>7433100</v>
      </c>
      <c r="N448" s="91">
        <f t="shared" si="178"/>
        <v>5788981</v>
      </c>
      <c r="O448" s="91">
        <f t="shared" si="178"/>
        <v>13013700</v>
      </c>
      <c r="P448" s="91">
        <f t="shared" si="178"/>
        <v>37324200</v>
      </c>
      <c r="Q448" s="91">
        <f t="shared" si="178"/>
        <v>2721200</v>
      </c>
      <c r="R448" s="91">
        <f t="shared" si="178"/>
        <v>138181123</v>
      </c>
      <c r="S448" s="91">
        <f t="shared" si="178"/>
        <v>32871000</v>
      </c>
      <c r="T448" s="91"/>
      <c r="U448" s="91"/>
      <c r="V448" s="91"/>
      <c r="W448" s="91">
        <f t="shared" si="178"/>
        <v>307532193</v>
      </c>
      <c r="X448" s="91">
        <f>X445+W447</f>
        <v>4987437049</v>
      </c>
    </row>
    <row r="449" spans="1:24" x14ac:dyDescent="0.2">
      <c r="A449" s="52"/>
      <c r="B449" s="52"/>
      <c r="C449" s="52"/>
      <c r="D449" s="52"/>
      <c r="E449" s="52"/>
      <c r="F449" s="52"/>
      <c r="G449" s="52"/>
      <c r="H449" s="52"/>
      <c r="I449" s="52"/>
      <c r="J449" s="52"/>
      <c r="K449" s="52"/>
      <c r="L449" s="52"/>
      <c r="M449" s="52"/>
      <c r="N449" s="52"/>
      <c r="O449" s="52"/>
      <c r="P449" s="52"/>
      <c r="Q449" s="52"/>
      <c r="R449" s="52"/>
      <c r="S449" s="52"/>
      <c r="T449" s="52"/>
      <c r="U449" s="52"/>
      <c r="V449" s="52"/>
      <c r="W449" s="52"/>
      <c r="X449" s="52"/>
    </row>
    <row r="453" spans="1:24" ht="27" x14ac:dyDescent="0.35">
      <c r="A453" s="126" t="s">
        <v>110</v>
      </c>
      <c r="B453" s="121"/>
      <c r="C453" s="121"/>
      <c r="D453" s="122"/>
      <c r="E453" s="121"/>
      <c r="F453" s="121"/>
      <c r="G453" s="121"/>
      <c r="H453" s="121"/>
      <c r="I453" s="121"/>
      <c r="J453" s="121"/>
      <c r="K453" s="121"/>
      <c r="L453" s="123"/>
      <c r="M453" s="124"/>
      <c r="N453" s="121"/>
      <c r="O453" s="121"/>
      <c r="P453" s="121"/>
      <c r="Q453" s="121"/>
      <c r="R453" s="121"/>
      <c r="S453" s="121"/>
      <c r="T453" s="121"/>
      <c r="U453" s="121"/>
      <c r="V453" s="121"/>
      <c r="W453" s="125"/>
      <c r="X453" s="121"/>
    </row>
    <row r="454" spans="1:24" x14ac:dyDescent="0.2">
      <c r="A454" s="52"/>
      <c r="B454" s="52"/>
      <c r="C454" s="21"/>
      <c r="D454" s="115"/>
      <c r="E454" s="52"/>
      <c r="F454" s="115"/>
      <c r="G454" s="52"/>
      <c r="H454" s="115"/>
      <c r="I454" s="115"/>
      <c r="J454" s="115"/>
      <c r="K454" s="52"/>
      <c r="L454" s="115"/>
      <c r="M454" s="52"/>
      <c r="N454" s="52"/>
      <c r="O454" s="52"/>
      <c r="P454" s="52"/>
      <c r="Q454" s="52"/>
      <c r="R454" s="52"/>
      <c r="S454" s="52"/>
      <c r="T454" s="52"/>
      <c r="U454" s="52"/>
      <c r="V454" s="52"/>
      <c r="W454" s="91"/>
      <c r="X454" s="91"/>
    </row>
    <row r="455" spans="1:24" ht="27" x14ac:dyDescent="0.35">
      <c r="A455" s="126" t="s">
        <v>107</v>
      </c>
      <c r="B455" s="121"/>
      <c r="C455" s="121"/>
      <c r="D455" s="121"/>
      <c r="E455" s="121"/>
      <c r="F455" s="122"/>
      <c r="G455" s="121"/>
      <c r="H455" s="121"/>
      <c r="I455" s="121"/>
      <c r="J455" s="121"/>
      <c r="K455" s="121"/>
      <c r="L455" s="121"/>
      <c r="M455" s="121"/>
      <c r="N455" s="121"/>
      <c r="O455" s="121"/>
      <c r="P455" s="121"/>
      <c r="Q455" s="121"/>
      <c r="R455" s="121"/>
      <c r="S455" s="121"/>
      <c r="T455" s="121"/>
      <c r="U455" s="121"/>
      <c r="V455" s="121"/>
      <c r="W455" s="125"/>
      <c r="X455" s="125"/>
    </row>
    <row r="456" spans="1:24" ht="13.5" x14ac:dyDescent="0.25">
      <c r="A456" s="52"/>
      <c r="B456" s="52"/>
      <c r="C456" s="52"/>
      <c r="D456" s="52"/>
      <c r="E456" s="52"/>
      <c r="F456" s="52"/>
      <c r="G456" s="52"/>
      <c r="H456" s="52"/>
      <c r="I456" s="52"/>
      <c r="J456" s="52"/>
      <c r="K456" s="52"/>
      <c r="L456" s="52"/>
      <c r="M456" s="52"/>
      <c r="N456" s="52"/>
      <c r="O456" s="52"/>
      <c r="P456" s="52"/>
      <c r="Q456" s="52"/>
      <c r="R456" s="166"/>
      <c r="W456" s="52"/>
      <c r="X456" s="116" t="s">
        <v>7</v>
      </c>
    </row>
    <row r="457" spans="1:24" x14ac:dyDescent="0.2">
      <c r="A457" s="52"/>
      <c r="B457" s="120" t="s">
        <v>108</v>
      </c>
      <c r="C457" s="121"/>
      <c r="D457" s="121"/>
      <c r="E457" s="121"/>
      <c r="F457" s="121"/>
      <c r="G457" s="52"/>
      <c r="H457" s="52"/>
      <c r="I457" s="120" t="s">
        <v>109</v>
      </c>
      <c r="J457" s="121"/>
      <c r="K457" s="121"/>
      <c r="L457" s="121"/>
      <c r="M457" s="121"/>
      <c r="N457" s="121"/>
      <c r="O457" s="121"/>
      <c r="P457" s="121"/>
      <c r="Q457" s="121"/>
      <c r="R457" s="52"/>
      <c r="S457" s="52"/>
      <c r="T457" s="52"/>
      <c r="U457" s="52"/>
      <c r="V457" s="52"/>
      <c r="W457" s="52"/>
      <c r="X457" s="116" t="s">
        <v>10</v>
      </c>
    </row>
    <row r="458" spans="1:24" x14ac:dyDescent="0.2">
      <c r="A458" s="52"/>
      <c r="B458" s="117" t="s">
        <v>11</v>
      </c>
      <c r="C458" s="117" t="s">
        <v>12</v>
      </c>
      <c r="D458" s="117" t="s">
        <v>13</v>
      </c>
      <c r="E458" s="117" t="s">
        <v>14</v>
      </c>
      <c r="F458" s="117" t="s">
        <v>15</v>
      </c>
      <c r="G458" s="117" t="s">
        <v>16</v>
      </c>
      <c r="H458" s="52"/>
      <c r="I458" s="117" t="s">
        <v>17</v>
      </c>
      <c r="J458" s="52"/>
      <c r="K458" s="52"/>
      <c r="L458" s="52"/>
      <c r="M458" s="52"/>
      <c r="N458" s="117" t="s">
        <v>18</v>
      </c>
      <c r="O458" s="117" t="s">
        <v>19</v>
      </c>
      <c r="P458" s="117" t="s">
        <v>20</v>
      </c>
      <c r="Q458" s="117" t="s">
        <v>21</v>
      </c>
      <c r="R458" s="117" t="s">
        <v>16</v>
      </c>
      <c r="S458" s="117" t="s">
        <v>102</v>
      </c>
      <c r="T458" s="117"/>
      <c r="U458" s="117"/>
      <c r="V458" s="117"/>
      <c r="W458" s="117" t="s">
        <v>7</v>
      </c>
      <c r="X458" s="116" t="s">
        <v>22</v>
      </c>
    </row>
    <row r="459" spans="1:24" x14ac:dyDescent="0.2">
      <c r="A459" s="52"/>
      <c r="B459" s="117" t="s">
        <v>23</v>
      </c>
      <c r="C459" s="117" t="s">
        <v>24</v>
      </c>
      <c r="D459" s="117" t="s">
        <v>25</v>
      </c>
      <c r="E459" s="117" t="s">
        <v>26</v>
      </c>
      <c r="F459" s="117" t="s">
        <v>27</v>
      </c>
      <c r="G459" s="117" t="s">
        <v>28</v>
      </c>
      <c r="H459" s="52"/>
      <c r="I459" s="117" t="s">
        <v>29</v>
      </c>
      <c r="J459" s="117" t="s">
        <v>30</v>
      </c>
      <c r="K459" s="117" t="s">
        <v>31</v>
      </c>
      <c r="L459" s="117" t="s">
        <v>32</v>
      </c>
      <c r="M459" s="117" t="s">
        <v>33</v>
      </c>
      <c r="N459" s="117" t="s">
        <v>34</v>
      </c>
      <c r="O459" s="117" t="s">
        <v>35</v>
      </c>
      <c r="P459" s="117" t="s">
        <v>36</v>
      </c>
      <c r="Q459" s="117" t="s">
        <v>37</v>
      </c>
      <c r="R459" s="117" t="s">
        <v>28</v>
      </c>
      <c r="S459" s="117" t="s">
        <v>103</v>
      </c>
      <c r="T459" s="117"/>
      <c r="U459" s="117"/>
      <c r="V459" s="117"/>
      <c r="W459" s="117" t="s">
        <v>10</v>
      </c>
      <c r="X459" s="116" t="s">
        <v>38</v>
      </c>
    </row>
    <row r="460" spans="1:24" x14ac:dyDescent="0.2">
      <c r="A460" s="52"/>
      <c r="B460" s="117" t="s">
        <v>39</v>
      </c>
      <c r="C460" s="117" t="s">
        <v>40</v>
      </c>
      <c r="D460" s="117" t="s">
        <v>40</v>
      </c>
      <c r="E460" s="117" t="s">
        <v>40</v>
      </c>
      <c r="F460" s="117" t="s">
        <v>40</v>
      </c>
      <c r="G460" s="117" t="s">
        <v>40</v>
      </c>
      <c r="H460" s="52"/>
      <c r="I460" s="117" t="s">
        <v>40</v>
      </c>
      <c r="J460" s="117" t="s">
        <v>40</v>
      </c>
      <c r="K460" s="117" t="s">
        <v>40</v>
      </c>
      <c r="L460" s="117" t="s">
        <v>40</v>
      </c>
      <c r="M460" s="117" t="s">
        <v>40</v>
      </c>
      <c r="N460" s="117" t="s">
        <v>40</v>
      </c>
      <c r="O460" s="117" t="s">
        <v>40</v>
      </c>
      <c r="P460" s="117" t="s">
        <v>40</v>
      </c>
      <c r="Q460" s="117" t="s">
        <v>40</v>
      </c>
      <c r="R460" s="117" t="s">
        <v>40</v>
      </c>
      <c r="S460" s="117" t="s">
        <v>40</v>
      </c>
      <c r="T460" s="117"/>
      <c r="U460" s="117"/>
      <c r="V460" s="117"/>
      <c r="W460" s="117" t="s">
        <v>40</v>
      </c>
      <c r="X460" s="116" t="s">
        <v>40</v>
      </c>
    </row>
    <row r="461" spans="1:24" x14ac:dyDescent="0.2">
      <c r="A461" s="117" t="s">
        <v>41</v>
      </c>
      <c r="B461" s="91">
        <v>0</v>
      </c>
      <c r="C461" s="91">
        <v>3222000</v>
      </c>
      <c r="D461" s="91">
        <v>2904000</v>
      </c>
      <c r="E461" s="91">
        <v>0</v>
      </c>
      <c r="F461" s="91">
        <v>1632000</v>
      </c>
      <c r="G461" s="91">
        <f>SUM(B461:F461)</f>
        <v>7758000</v>
      </c>
      <c r="H461" s="91"/>
      <c r="I461" s="91">
        <v>0</v>
      </c>
      <c r="J461" s="91">
        <v>0</v>
      </c>
      <c r="K461" s="91">
        <v>1761000</v>
      </c>
      <c r="L461" s="91">
        <v>1716000</v>
      </c>
      <c r="M461" s="91">
        <v>0</v>
      </c>
      <c r="N461" s="91">
        <v>0</v>
      </c>
      <c r="O461" s="91">
        <v>1527000</v>
      </c>
      <c r="P461" s="91">
        <v>3222000</v>
      </c>
      <c r="Q461" s="91">
        <v>0</v>
      </c>
      <c r="R461" s="91">
        <f>SUM(I461:Q461)</f>
        <v>8226000</v>
      </c>
      <c r="S461" s="118">
        <v>0</v>
      </c>
      <c r="T461" s="118"/>
      <c r="U461" s="118"/>
      <c r="V461" s="118"/>
      <c r="W461" s="91">
        <f>R461+G461</f>
        <v>15984000</v>
      </c>
      <c r="X461" s="91"/>
    </row>
    <row r="462" spans="1:24" x14ac:dyDescent="0.2">
      <c r="A462" s="117" t="s">
        <v>42</v>
      </c>
      <c r="B462" s="91">
        <f t="shared" ref="B462:G462" si="179">B448+B461-B414</f>
        <v>1809902</v>
      </c>
      <c r="C462" s="91">
        <f t="shared" si="179"/>
        <v>36421477</v>
      </c>
      <c r="D462" s="91">
        <f t="shared" si="179"/>
        <v>43850299</v>
      </c>
      <c r="E462" s="91">
        <f t="shared" si="179"/>
        <v>27407872</v>
      </c>
      <c r="F462" s="91">
        <f t="shared" si="179"/>
        <v>28239120</v>
      </c>
      <c r="G462" s="91">
        <f t="shared" si="179"/>
        <v>137728670</v>
      </c>
      <c r="H462" s="91"/>
      <c r="I462" s="91">
        <f t="shared" ref="I462:W462" si="180">I448+I461-I414</f>
        <v>25458442</v>
      </c>
      <c r="J462" s="91">
        <f t="shared" si="180"/>
        <v>6727500</v>
      </c>
      <c r="K462" s="91">
        <f t="shared" si="180"/>
        <v>18783000</v>
      </c>
      <c r="L462" s="91">
        <f t="shared" si="180"/>
        <v>19653000</v>
      </c>
      <c r="M462" s="91">
        <f t="shared" si="180"/>
        <v>7433100</v>
      </c>
      <c r="N462" s="91">
        <f t="shared" si="180"/>
        <v>5788981</v>
      </c>
      <c r="O462" s="91">
        <f t="shared" si="180"/>
        <v>13715700</v>
      </c>
      <c r="P462" s="91">
        <f t="shared" si="180"/>
        <v>37342200</v>
      </c>
      <c r="Q462" s="91">
        <f t="shared" si="180"/>
        <v>2721200</v>
      </c>
      <c r="R462" s="91">
        <f t="shared" si="180"/>
        <v>137623123</v>
      </c>
      <c r="S462" s="91">
        <f t="shared" si="180"/>
        <v>32871000</v>
      </c>
      <c r="T462" s="91"/>
      <c r="U462" s="91"/>
      <c r="V462" s="91"/>
      <c r="W462" s="91">
        <f t="shared" si="180"/>
        <v>308222793</v>
      </c>
      <c r="X462" s="91">
        <f>X448+W461</f>
        <v>5003421049</v>
      </c>
    </row>
    <row r="463" spans="1:24" x14ac:dyDescent="0.2">
      <c r="A463" s="52"/>
      <c r="B463" s="52"/>
      <c r="C463" s="52"/>
      <c r="D463" s="52"/>
      <c r="E463" s="52"/>
      <c r="F463" s="52"/>
      <c r="G463" s="52"/>
      <c r="H463" s="91"/>
      <c r="I463" s="52"/>
      <c r="J463" s="52"/>
      <c r="K463" s="52"/>
      <c r="L463" s="52"/>
      <c r="M463" s="52"/>
      <c r="N463" s="52"/>
      <c r="O463" s="52"/>
      <c r="P463" s="52"/>
      <c r="Q463" s="52"/>
      <c r="R463" s="52"/>
      <c r="S463" s="91"/>
      <c r="T463" s="91"/>
      <c r="U463" s="91"/>
      <c r="V463" s="91"/>
      <c r="W463" s="52"/>
      <c r="X463" s="91"/>
    </row>
    <row r="464" spans="1:24" x14ac:dyDescent="0.2">
      <c r="A464" s="117" t="s">
        <v>43</v>
      </c>
      <c r="B464" s="91">
        <v>0</v>
      </c>
      <c r="C464" s="91">
        <v>2784000</v>
      </c>
      <c r="D464" s="91">
        <v>1716000</v>
      </c>
      <c r="E464" s="91">
        <v>0</v>
      </c>
      <c r="F464" s="91">
        <v>816000</v>
      </c>
      <c r="G464" s="91">
        <f>SUM(B464:F464)</f>
        <v>5316000</v>
      </c>
      <c r="H464" s="91"/>
      <c r="I464" s="91">
        <v>420000</v>
      </c>
      <c r="J464" s="91">
        <v>0</v>
      </c>
      <c r="K464" s="91">
        <v>1173000</v>
      </c>
      <c r="L464" s="91">
        <v>1170000</v>
      </c>
      <c r="M464" s="91">
        <v>0</v>
      </c>
      <c r="N464" s="91">
        <v>34000</v>
      </c>
      <c r="O464" s="91">
        <v>915000</v>
      </c>
      <c r="P464" s="91">
        <v>1884000</v>
      </c>
      <c r="Q464" s="91">
        <v>0</v>
      </c>
      <c r="R464" s="91">
        <f>SUM(I464:Q464)</f>
        <v>5596000</v>
      </c>
      <c r="S464" s="118">
        <v>0</v>
      </c>
      <c r="T464" s="118"/>
      <c r="U464" s="118"/>
      <c r="V464" s="118"/>
      <c r="W464" s="91">
        <f>R464+G464</f>
        <v>10912000</v>
      </c>
      <c r="X464" s="91"/>
    </row>
    <row r="465" spans="1:24" x14ac:dyDescent="0.2">
      <c r="A465" s="117" t="s">
        <v>42</v>
      </c>
      <c r="B465" s="91">
        <f t="shared" ref="B465:G465" si="181">B462+B464-B417</f>
        <v>1310702</v>
      </c>
      <c r="C465" s="91">
        <f t="shared" si="181"/>
        <v>36841477</v>
      </c>
      <c r="D465" s="91">
        <f t="shared" si="181"/>
        <v>42710299</v>
      </c>
      <c r="E465" s="91">
        <f t="shared" si="181"/>
        <v>27407872</v>
      </c>
      <c r="F465" s="91">
        <f t="shared" si="181"/>
        <v>29007120</v>
      </c>
      <c r="G465" s="91">
        <f t="shared" si="181"/>
        <v>137277470</v>
      </c>
      <c r="H465" s="91"/>
      <c r="I465" s="91">
        <f t="shared" ref="I465:W465" si="182">I462+I464-I417</f>
        <v>21918442</v>
      </c>
      <c r="J465" s="91">
        <f t="shared" si="182"/>
        <v>6727500</v>
      </c>
      <c r="K465" s="91">
        <f t="shared" si="182"/>
        <v>18432000</v>
      </c>
      <c r="L465" s="91">
        <f t="shared" si="182"/>
        <v>19311000</v>
      </c>
      <c r="M465" s="91">
        <f t="shared" si="182"/>
        <v>7433100</v>
      </c>
      <c r="N465" s="91">
        <f t="shared" si="182"/>
        <v>5726981</v>
      </c>
      <c r="O465" s="91">
        <f t="shared" si="182"/>
        <v>14630700</v>
      </c>
      <c r="P465" s="91">
        <f t="shared" si="182"/>
        <v>36478200</v>
      </c>
      <c r="Q465" s="91">
        <f t="shared" si="182"/>
        <v>2721200</v>
      </c>
      <c r="R465" s="91">
        <f t="shared" si="182"/>
        <v>133379123</v>
      </c>
      <c r="S465" s="91">
        <f t="shared" si="182"/>
        <v>32871000</v>
      </c>
      <c r="T465" s="91"/>
      <c r="U465" s="91"/>
      <c r="V465" s="91"/>
      <c r="W465" s="91">
        <f t="shared" si="182"/>
        <v>303527593</v>
      </c>
      <c r="X465" s="91">
        <f>X462+W464</f>
        <v>5014333049</v>
      </c>
    </row>
    <row r="466" spans="1:24" x14ac:dyDescent="0.2">
      <c r="A466" s="52"/>
      <c r="B466" s="91"/>
      <c r="C466" s="91"/>
      <c r="D466" s="91"/>
      <c r="E466" s="91"/>
      <c r="F466" s="91"/>
      <c r="G466" s="91"/>
      <c r="H466" s="91"/>
      <c r="I466" s="91"/>
      <c r="J466" s="91"/>
      <c r="K466" s="91"/>
      <c r="L466" s="91"/>
      <c r="M466" s="91"/>
      <c r="N466" s="91"/>
      <c r="O466" s="91"/>
      <c r="P466" s="91"/>
      <c r="Q466" s="91"/>
      <c r="R466" s="91"/>
      <c r="S466" s="91"/>
      <c r="T466" s="91"/>
      <c r="U466" s="91"/>
      <c r="V466" s="91"/>
      <c r="W466" s="91"/>
      <c r="X466" s="91"/>
    </row>
    <row r="467" spans="1:24" x14ac:dyDescent="0.2">
      <c r="A467" s="117" t="s">
        <v>44</v>
      </c>
      <c r="B467" s="91">
        <v>0</v>
      </c>
      <c r="C467" s="91">
        <v>3462000</v>
      </c>
      <c r="D467" s="91">
        <v>0</v>
      </c>
      <c r="E467" s="91">
        <v>0</v>
      </c>
      <c r="F467" s="91">
        <v>1560000</v>
      </c>
      <c r="G467" s="91">
        <f>SUM(B467:F467)</f>
        <v>5022000</v>
      </c>
      <c r="H467" s="91"/>
      <c r="I467" s="91">
        <v>0</v>
      </c>
      <c r="J467" s="91">
        <v>0</v>
      </c>
      <c r="K467" s="91">
        <v>1866000</v>
      </c>
      <c r="L467" s="91">
        <v>1842000</v>
      </c>
      <c r="M467" s="91">
        <v>297000</v>
      </c>
      <c r="N467" s="91">
        <v>0</v>
      </c>
      <c r="O467" s="91">
        <v>1617000</v>
      </c>
      <c r="P467" s="91">
        <v>1872000</v>
      </c>
      <c r="Q467" s="91">
        <v>0</v>
      </c>
      <c r="R467" s="91">
        <f>SUM(I467:Q467)</f>
        <v>7494000</v>
      </c>
      <c r="S467" s="167">
        <v>0</v>
      </c>
      <c r="T467" s="167"/>
      <c r="U467" s="167"/>
      <c r="V467" s="167"/>
      <c r="W467" s="91">
        <f>R467+G467</f>
        <v>12516000</v>
      </c>
      <c r="X467" s="91"/>
    </row>
    <row r="468" spans="1:24" x14ac:dyDescent="0.2">
      <c r="A468" s="117" t="s">
        <v>42</v>
      </c>
      <c r="B468" s="91">
        <f t="shared" ref="B468:G468" si="183">B465+B467-B420</f>
        <v>1310702</v>
      </c>
      <c r="C468" s="91">
        <f t="shared" si="183"/>
        <v>37801477</v>
      </c>
      <c r="D468" s="91">
        <f t="shared" si="183"/>
        <v>39602299</v>
      </c>
      <c r="E468" s="91">
        <f t="shared" si="183"/>
        <v>27407872</v>
      </c>
      <c r="F468" s="91">
        <f t="shared" si="183"/>
        <v>27591120</v>
      </c>
      <c r="G468" s="91">
        <f t="shared" si="183"/>
        <v>133713470</v>
      </c>
      <c r="H468" s="91"/>
      <c r="I468" s="91">
        <f t="shared" ref="I468:W468" si="184">I465+I467-I420</f>
        <v>19986442</v>
      </c>
      <c r="J468" s="91">
        <f t="shared" si="184"/>
        <v>6718500</v>
      </c>
      <c r="K468" s="91">
        <f t="shared" si="184"/>
        <v>19032000</v>
      </c>
      <c r="L468" s="91">
        <f t="shared" si="184"/>
        <v>19350000</v>
      </c>
      <c r="M468" s="91">
        <f t="shared" si="184"/>
        <v>7730100</v>
      </c>
      <c r="N468" s="91">
        <f t="shared" si="184"/>
        <v>5224981</v>
      </c>
      <c r="O468" s="91">
        <f t="shared" si="184"/>
        <v>15350700</v>
      </c>
      <c r="P468" s="91">
        <f t="shared" si="184"/>
        <v>34894200</v>
      </c>
      <c r="Q468" s="91">
        <f t="shared" si="184"/>
        <v>2721200</v>
      </c>
      <c r="R468" s="91">
        <f t="shared" si="184"/>
        <v>131008123</v>
      </c>
      <c r="S468" s="91">
        <f t="shared" si="184"/>
        <v>32851000</v>
      </c>
      <c r="T468" s="91"/>
      <c r="U468" s="91"/>
      <c r="V468" s="91"/>
      <c r="W468" s="91">
        <f t="shared" si="184"/>
        <v>297572593</v>
      </c>
      <c r="X468" s="91">
        <f>X465+W467</f>
        <v>5026849049</v>
      </c>
    </row>
    <row r="469" spans="1:24" x14ac:dyDescent="0.2">
      <c r="A469" s="52"/>
      <c r="B469" s="52"/>
      <c r="C469" s="52"/>
      <c r="D469" s="52"/>
      <c r="E469" s="52"/>
      <c r="F469" s="52"/>
      <c r="G469" s="52"/>
      <c r="H469" s="91"/>
      <c r="I469" s="52"/>
      <c r="J469" s="52"/>
      <c r="K469" s="52"/>
      <c r="L469" s="52"/>
      <c r="M469" s="52"/>
      <c r="N469" s="52"/>
      <c r="O469" s="52"/>
      <c r="P469" s="52"/>
      <c r="Q469" s="52"/>
      <c r="R469" s="52"/>
      <c r="S469" s="91"/>
      <c r="T469" s="91"/>
      <c r="U469" s="91"/>
      <c r="V469" s="91"/>
      <c r="W469" s="52"/>
      <c r="X469" s="91"/>
    </row>
    <row r="470" spans="1:24" x14ac:dyDescent="0.2">
      <c r="A470" s="117" t="s">
        <v>45</v>
      </c>
      <c r="B470" s="91">
        <v>240000</v>
      </c>
      <c r="C470" s="91">
        <v>2700000</v>
      </c>
      <c r="D470" s="91">
        <v>3180000</v>
      </c>
      <c r="E470" s="91">
        <v>1827000</v>
      </c>
      <c r="F470" s="91">
        <v>1860000</v>
      </c>
      <c r="G470" s="91">
        <f>SUM(B470:F470)</f>
        <v>9807000</v>
      </c>
      <c r="H470" s="91"/>
      <c r="I470" s="91">
        <v>1248000</v>
      </c>
      <c r="J470" s="91">
        <v>0</v>
      </c>
      <c r="K470" s="91">
        <v>1389000</v>
      </c>
      <c r="L470" s="91">
        <v>1482000</v>
      </c>
      <c r="M470" s="91">
        <v>27000</v>
      </c>
      <c r="N470" s="91">
        <v>0</v>
      </c>
      <c r="O470" s="91">
        <v>939000</v>
      </c>
      <c r="P470" s="91">
        <v>1092000</v>
      </c>
      <c r="Q470" s="91">
        <v>0</v>
      </c>
      <c r="R470" s="91">
        <f>SUM(I470:Q470)</f>
        <v>6177000</v>
      </c>
      <c r="S470" s="91">
        <v>3126000</v>
      </c>
      <c r="T470" s="91"/>
      <c r="U470" s="91"/>
      <c r="V470" s="91"/>
      <c r="W470" s="91">
        <f>R470+G470+S470</f>
        <v>19110000</v>
      </c>
      <c r="X470" s="91"/>
    </row>
    <row r="471" spans="1:24" x14ac:dyDescent="0.2">
      <c r="A471" s="117" t="s">
        <v>42</v>
      </c>
      <c r="B471" s="91">
        <f t="shared" ref="B471:G471" si="185">B468+B470-B423</f>
        <v>1435502</v>
      </c>
      <c r="C471" s="91">
        <f t="shared" si="185"/>
        <v>37477477</v>
      </c>
      <c r="D471" s="91">
        <f t="shared" si="185"/>
        <v>39266299</v>
      </c>
      <c r="E471" s="91">
        <f t="shared" si="185"/>
        <v>25742872</v>
      </c>
      <c r="F471" s="91">
        <f t="shared" si="185"/>
        <v>26793120</v>
      </c>
      <c r="G471" s="91">
        <f t="shared" si="185"/>
        <v>130715270</v>
      </c>
      <c r="H471" s="91"/>
      <c r="I471" s="91">
        <f t="shared" ref="I471:W471" si="186">I468+I470-I423</f>
        <v>17106442</v>
      </c>
      <c r="J471" s="91">
        <f t="shared" si="186"/>
        <v>6619500</v>
      </c>
      <c r="K471" s="91">
        <f t="shared" si="186"/>
        <v>18852000</v>
      </c>
      <c r="L471" s="91">
        <f t="shared" si="186"/>
        <v>19122000</v>
      </c>
      <c r="M471" s="91">
        <f t="shared" si="186"/>
        <v>7757100</v>
      </c>
      <c r="N471" s="91">
        <f t="shared" si="186"/>
        <v>4270981</v>
      </c>
      <c r="O471" s="91">
        <f t="shared" si="186"/>
        <v>14912700</v>
      </c>
      <c r="P471" s="91">
        <f t="shared" si="186"/>
        <v>32770200</v>
      </c>
      <c r="Q471" s="91">
        <f t="shared" si="186"/>
        <v>2109200</v>
      </c>
      <c r="R471" s="91">
        <f t="shared" si="186"/>
        <v>123520123</v>
      </c>
      <c r="S471" s="91">
        <f t="shared" si="186"/>
        <v>29745000</v>
      </c>
      <c r="T471" s="91"/>
      <c r="U471" s="91"/>
      <c r="V471" s="91"/>
      <c r="W471" s="91">
        <f t="shared" si="186"/>
        <v>283980393</v>
      </c>
      <c r="X471" s="91">
        <f>X468+W470</f>
        <v>5045959049</v>
      </c>
    </row>
    <row r="472" spans="1:24" x14ac:dyDescent="0.2">
      <c r="A472" s="52"/>
      <c r="B472" s="52"/>
      <c r="C472" s="52"/>
      <c r="D472" s="52"/>
      <c r="E472" s="52"/>
      <c r="F472" s="52"/>
      <c r="G472" s="52"/>
      <c r="H472" s="91"/>
      <c r="I472" s="52"/>
      <c r="J472" s="52"/>
      <c r="K472" s="52"/>
      <c r="L472" s="52"/>
      <c r="M472" s="52"/>
      <c r="N472" s="52"/>
      <c r="O472" s="52"/>
      <c r="P472" s="52"/>
      <c r="Q472" s="52"/>
      <c r="R472" s="52"/>
      <c r="S472" s="91"/>
      <c r="T472" s="91"/>
      <c r="U472" s="91"/>
      <c r="V472" s="91"/>
      <c r="W472" s="52"/>
      <c r="X472" s="91"/>
    </row>
    <row r="473" spans="1:24" x14ac:dyDescent="0.2">
      <c r="A473" s="117" t="s">
        <v>46</v>
      </c>
      <c r="B473" s="91">
        <v>110400</v>
      </c>
      <c r="C473" s="91">
        <v>1422000</v>
      </c>
      <c r="D473" s="91">
        <v>2088000</v>
      </c>
      <c r="E473" s="91">
        <v>2169000</v>
      </c>
      <c r="F473" s="91">
        <v>1644000</v>
      </c>
      <c r="G473" s="91">
        <f>SUM(B473:F473)</f>
        <v>7433400</v>
      </c>
      <c r="H473" s="91"/>
      <c r="I473" s="91">
        <v>516000</v>
      </c>
      <c r="J473" s="91">
        <v>0</v>
      </c>
      <c r="K473" s="91">
        <v>813000</v>
      </c>
      <c r="L473" s="91">
        <v>855000</v>
      </c>
      <c r="M473" s="91">
        <v>1278000</v>
      </c>
      <c r="N473" s="91">
        <v>0</v>
      </c>
      <c r="O473" s="91">
        <v>402000</v>
      </c>
      <c r="P473" s="91">
        <v>1986000</v>
      </c>
      <c r="Q473" s="91">
        <v>0</v>
      </c>
      <c r="R473" s="91">
        <f>SUM(I473:Q473)</f>
        <v>5850000</v>
      </c>
      <c r="S473" s="91">
        <v>4106000</v>
      </c>
      <c r="T473" s="91"/>
      <c r="U473" s="91"/>
      <c r="V473" s="91"/>
      <c r="W473" s="91">
        <f>R473+G473+S473</f>
        <v>17389400</v>
      </c>
      <c r="X473" s="91"/>
    </row>
    <row r="474" spans="1:24" x14ac:dyDescent="0.2">
      <c r="A474" s="117" t="s">
        <v>42</v>
      </c>
      <c r="B474" s="91">
        <f t="shared" ref="B474:G474" si="187">B471+B473-B426</f>
        <v>974702</v>
      </c>
      <c r="C474" s="91">
        <f t="shared" si="187"/>
        <v>35551477</v>
      </c>
      <c r="D474" s="91">
        <f t="shared" si="187"/>
        <v>35186299</v>
      </c>
      <c r="E474" s="91">
        <f t="shared" si="187"/>
        <v>24995872</v>
      </c>
      <c r="F474" s="91">
        <f t="shared" si="187"/>
        <v>25449120</v>
      </c>
      <c r="G474" s="91">
        <f t="shared" si="187"/>
        <v>122157470</v>
      </c>
      <c r="H474" s="91"/>
      <c r="I474" s="91">
        <f t="shared" ref="I474:W474" si="188">I471+I473-I426</f>
        <v>12522442</v>
      </c>
      <c r="J474" s="91">
        <f t="shared" si="188"/>
        <v>3487500</v>
      </c>
      <c r="K474" s="91">
        <f t="shared" si="188"/>
        <v>17982000</v>
      </c>
      <c r="L474" s="91">
        <f t="shared" si="188"/>
        <v>18459000</v>
      </c>
      <c r="M474" s="91">
        <f t="shared" si="188"/>
        <v>7217100</v>
      </c>
      <c r="N474" s="91">
        <f t="shared" si="188"/>
        <v>3480981</v>
      </c>
      <c r="O474" s="91">
        <f t="shared" si="188"/>
        <v>15221700</v>
      </c>
      <c r="P474" s="91">
        <f t="shared" si="188"/>
        <v>31384200</v>
      </c>
      <c r="Q474" s="91">
        <f t="shared" si="188"/>
        <v>169200</v>
      </c>
      <c r="R474" s="91">
        <f t="shared" si="188"/>
        <v>109924123</v>
      </c>
      <c r="S474" s="91">
        <f t="shared" si="188"/>
        <v>27967000</v>
      </c>
      <c r="T474" s="91"/>
      <c r="U474" s="91"/>
      <c r="V474" s="91"/>
      <c r="W474" s="91">
        <f t="shared" si="188"/>
        <v>260048593</v>
      </c>
      <c r="X474" s="91">
        <f>X471+W473</f>
        <v>5063348449</v>
      </c>
    </row>
    <row r="475" spans="1:24" x14ac:dyDescent="0.2">
      <c r="A475" s="52"/>
      <c r="B475" s="52"/>
      <c r="C475" s="52"/>
      <c r="D475" s="52"/>
      <c r="E475" s="52"/>
      <c r="F475" s="52"/>
      <c r="G475" s="52"/>
      <c r="H475" s="91"/>
      <c r="I475" s="52"/>
      <c r="J475" s="52"/>
      <c r="K475" s="52"/>
      <c r="L475" s="52"/>
      <c r="M475" s="52"/>
      <c r="N475" s="52"/>
      <c r="O475" s="52"/>
      <c r="P475" s="52"/>
      <c r="Q475" s="52"/>
      <c r="R475" s="52"/>
      <c r="S475" s="91"/>
      <c r="T475" s="91"/>
      <c r="U475" s="91"/>
      <c r="V475" s="91"/>
      <c r="W475" s="52"/>
      <c r="X475" s="91"/>
    </row>
    <row r="476" spans="1:24" x14ac:dyDescent="0.2">
      <c r="A476" s="117" t="s">
        <v>47</v>
      </c>
      <c r="B476" s="91">
        <v>0</v>
      </c>
      <c r="C476" s="91">
        <v>3271067</v>
      </c>
      <c r="D476" s="91">
        <v>2734638</v>
      </c>
      <c r="E476" s="91">
        <v>2170669</v>
      </c>
      <c r="F476" s="91">
        <v>2342175</v>
      </c>
      <c r="G476" s="91">
        <f>SUM(B476:F476)</f>
        <v>10518549</v>
      </c>
      <c r="H476" s="91"/>
      <c r="I476" s="91">
        <v>0</v>
      </c>
      <c r="J476" s="91">
        <v>0</v>
      </c>
      <c r="K476" s="91">
        <v>1800000</v>
      </c>
      <c r="L476" s="91">
        <v>1821000</v>
      </c>
      <c r="M476" s="91">
        <v>454500</v>
      </c>
      <c r="N476" s="91">
        <v>149400</v>
      </c>
      <c r="O476" s="91">
        <v>1443000</v>
      </c>
      <c r="P476" s="91">
        <v>2898000</v>
      </c>
      <c r="Q476" s="91">
        <v>0</v>
      </c>
      <c r="R476" s="91">
        <f>SUM(I476:Q476)</f>
        <v>8565900</v>
      </c>
      <c r="S476" s="91">
        <v>3781000</v>
      </c>
      <c r="T476" s="91"/>
      <c r="U476" s="91"/>
      <c r="V476" s="91"/>
      <c r="W476" s="91">
        <f>R476+G476+S476</f>
        <v>22865449</v>
      </c>
      <c r="X476" s="91"/>
    </row>
    <row r="477" spans="1:24" x14ac:dyDescent="0.2">
      <c r="A477" s="117" t="s">
        <v>42</v>
      </c>
      <c r="B477" s="91">
        <f t="shared" ref="B477:G477" si="189">B474+B476-B429</f>
        <v>417600</v>
      </c>
      <c r="C477" s="91">
        <f t="shared" si="189"/>
        <v>35396544</v>
      </c>
      <c r="D477" s="91">
        <f t="shared" si="189"/>
        <v>32076937</v>
      </c>
      <c r="E477" s="91">
        <f t="shared" si="189"/>
        <v>23752669</v>
      </c>
      <c r="F477" s="91">
        <f t="shared" si="189"/>
        <v>25187295</v>
      </c>
      <c r="G477" s="91">
        <f t="shared" si="189"/>
        <v>116831045</v>
      </c>
      <c r="H477" s="91"/>
      <c r="I477" s="91">
        <f t="shared" ref="I477:W477" si="190">I474+I476-I429</f>
        <v>7878442</v>
      </c>
      <c r="J477" s="91">
        <f t="shared" si="190"/>
        <v>400500</v>
      </c>
      <c r="K477" s="91">
        <f t="shared" si="190"/>
        <v>18129000</v>
      </c>
      <c r="L477" s="91">
        <f t="shared" si="190"/>
        <v>18702000</v>
      </c>
      <c r="M477" s="91">
        <f t="shared" si="190"/>
        <v>6133500</v>
      </c>
      <c r="N477" s="91">
        <f t="shared" si="190"/>
        <v>2983400</v>
      </c>
      <c r="O477" s="91">
        <f t="shared" si="190"/>
        <v>16575000</v>
      </c>
      <c r="P477" s="91">
        <f t="shared" si="190"/>
        <v>30996000</v>
      </c>
      <c r="Q477" s="91">
        <f t="shared" si="190"/>
        <v>0</v>
      </c>
      <c r="R477" s="91">
        <f t="shared" si="190"/>
        <v>101797842</v>
      </c>
      <c r="S477" s="91">
        <f t="shared" si="190"/>
        <v>26239000</v>
      </c>
      <c r="T477" s="91"/>
      <c r="U477" s="91"/>
      <c r="V477" s="91"/>
      <c r="W477" s="91">
        <f t="shared" si="190"/>
        <v>244867887</v>
      </c>
      <c r="X477" s="91">
        <f>X474+W476</f>
        <v>5086213898</v>
      </c>
    </row>
    <row r="478" spans="1:24" x14ac:dyDescent="0.2">
      <c r="A478" s="52"/>
      <c r="B478" s="52"/>
      <c r="C478" s="52"/>
      <c r="D478" s="52"/>
      <c r="E478" s="52"/>
      <c r="F478" s="52"/>
      <c r="G478" s="52"/>
      <c r="H478" s="91"/>
      <c r="I478" s="52"/>
      <c r="J478" s="52"/>
      <c r="K478" s="52"/>
      <c r="L478" s="52"/>
      <c r="M478" s="52"/>
      <c r="N478" s="52"/>
      <c r="O478" s="52"/>
      <c r="P478" s="52"/>
      <c r="Q478" s="52"/>
      <c r="R478" s="52"/>
      <c r="S478" s="119" t="s">
        <v>105</v>
      </c>
      <c r="T478" s="119"/>
      <c r="U478" s="119"/>
      <c r="V478" s="119"/>
      <c r="W478" s="52"/>
      <c r="X478" s="91"/>
    </row>
    <row r="479" spans="1:24" x14ac:dyDescent="0.2">
      <c r="A479" s="117" t="s">
        <v>48</v>
      </c>
      <c r="B479" s="91">
        <v>0</v>
      </c>
      <c r="C479" s="91">
        <v>3282000</v>
      </c>
      <c r="D479" s="91">
        <v>3972000</v>
      </c>
      <c r="E479" s="91">
        <v>2412000</v>
      </c>
      <c r="F479" s="91">
        <v>2982000</v>
      </c>
      <c r="G479" s="91">
        <f>SUM(B479:F479)</f>
        <v>12648000</v>
      </c>
      <c r="H479" s="91"/>
      <c r="I479" s="91">
        <v>1668000</v>
      </c>
      <c r="J479" s="91">
        <v>891000</v>
      </c>
      <c r="K479" s="91">
        <v>1623000</v>
      </c>
      <c r="L479" s="91">
        <v>1668000</v>
      </c>
      <c r="M479" s="91">
        <v>441000</v>
      </c>
      <c r="N479" s="91">
        <v>842000</v>
      </c>
      <c r="O479" s="91">
        <v>1686000</v>
      </c>
      <c r="P479" s="91">
        <v>3360000</v>
      </c>
      <c r="Q479" s="91">
        <v>0</v>
      </c>
      <c r="R479" s="91">
        <f>SUM(I479:Q479)</f>
        <v>12179000</v>
      </c>
      <c r="S479" s="91">
        <v>4919000</v>
      </c>
      <c r="T479" s="91"/>
      <c r="U479" s="91"/>
      <c r="V479" s="91"/>
      <c r="W479" s="91">
        <f>R479+G479+S479</f>
        <v>29746000</v>
      </c>
      <c r="X479" s="91"/>
    </row>
    <row r="480" spans="1:24" x14ac:dyDescent="0.2">
      <c r="A480" s="117" t="s">
        <v>42</v>
      </c>
      <c r="B480" s="91">
        <f t="shared" ref="B480:G480" si="191">B477+B479-B432</f>
        <v>417600</v>
      </c>
      <c r="C480" s="91">
        <f t="shared" si="191"/>
        <v>35245067</v>
      </c>
      <c r="D480" s="91">
        <f t="shared" si="191"/>
        <v>32698638</v>
      </c>
      <c r="E480" s="91">
        <f t="shared" si="191"/>
        <v>21547669</v>
      </c>
      <c r="F480" s="91">
        <f t="shared" si="191"/>
        <v>25280175</v>
      </c>
      <c r="G480" s="91">
        <f t="shared" si="191"/>
        <v>115189149</v>
      </c>
      <c r="H480" s="91"/>
      <c r="I480" s="91">
        <f t="shared" ref="I480:W480" si="192">I477+I479-I432</f>
        <v>8184000</v>
      </c>
      <c r="J480" s="91">
        <f t="shared" si="192"/>
        <v>1269000</v>
      </c>
      <c r="K480" s="91">
        <f t="shared" si="192"/>
        <v>18051000</v>
      </c>
      <c r="L480" s="91">
        <f t="shared" si="192"/>
        <v>18648000</v>
      </c>
      <c r="M480" s="91">
        <f t="shared" si="192"/>
        <v>3775500</v>
      </c>
      <c r="N480" s="91">
        <f t="shared" si="192"/>
        <v>3455400</v>
      </c>
      <c r="O480" s="91">
        <f t="shared" si="192"/>
        <v>16821000</v>
      </c>
      <c r="P480" s="91">
        <f t="shared" si="192"/>
        <v>30846000</v>
      </c>
      <c r="Q480" s="91">
        <f t="shared" si="192"/>
        <v>0</v>
      </c>
      <c r="R480" s="91">
        <f t="shared" si="192"/>
        <v>101049900</v>
      </c>
      <c r="S480" s="91">
        <f t="shared" si="192"/>
        <v>25206000</v>
      </c>
      <c r="T480" s="91"/>
      <c r="U480" s="91"/>
      <c r="V480" s="91"/>
      <c r="W480" s="91">
        <f t="shared" si="192"/>
        <v>241445049</v>
      </c>
      <c r="X480" s="91">
        <f>X477+W479</f>
        <v>5115959898</v>
      </c>
    </row>
    <row r="481" spans="1:24" x14ac:dyDescent="0.2">
      <c r="A481" s="52"/>
      <c r="B481" s="52"/>
      <c r="C481" s="52"/>
      <c r="D481" s="52"/>
      <c r="E481" s="52"/>
      <c r="F481" s="52"/>
      <c r="G481" s="52"/>
      <c r="H481" s="91"/>
      <c r="I481" s="52"/>
      <c r="J481" s="52"/>
      <c r="K481" s="52"/>
      <c r="L481" s="52"/>
      <c r="M481" s="52"/>
      <c r="N481" s="52"/>
      <c r="O481" s="52"/>
      <c r="P481" s="52"/>
      <c r="Q481" s="52"/>
      <c r="R481" s="52"/>
      <c r="S481" s="91"/>
      <c r="T481" s="91"/>
      <c r="U481" s="91"/>
      <c r="V481" s="91"/>
      <c r="W481" s="52"/>
      <c r="X481" s="91"/>
    </row>
    <row r="482" spans="1:24" x14ac:dyDescent="0.2">
      <c r="A482" s="117" t="s">
        <v>49</v>
      </c>
      <c r="B482" s="91">
        <v>0</v>
      </c>
      <c r="C482" s="91">
        <v>3294000</v>
      </c>
      <c r="D482" s="91">
        <v>4860000</v>
      </c>
      <c r="E482" s="91">
        <v>3024000</v>
      </c>
      <c r="F482" s="91">
        <v>2562000</v>
      </c>
      <c r="G482" s="91">
        <f>SUM(B482:F482)</f>
        <v>13740000</v>
      </c>
      <c r="H482" s="91"/>
      <c r="I482" s="91">
        <v>3108000</v>
      </c>
      <c r="J482" s="91">
        <v>1755000</v>
      </c>
      <c r="K482" s="91">
        <v>1752000</v>
      </c>
      <c r="L482" s="91">
        <v>1785000</v>
      </c>
      <c r="M482" s="91">
        <v>1323000</v>
      </c>
      <c r="N482" s="91">
        <v>722000</v>
      </c>
      <c r="O482" s="91">
        <v>1569000</v>
      </c>
      <c r="P482" s="91">
        <v>3306000</v>
      </c>
      <c r="Q482" s="91">
        <v>0</v>
      </c>
      <c r="R482" s="91">
        <f>SUM(I482:Q482)</f>
        <v>15320000</v>
      </c>
      <c r="S482" s="91">
        <v>4600000</v>
      </c>
      <c r="T482" s="91"/>
      <c r="U482" s="91"/>
      <c r="V482" s="91"/>
      <c r="W482" s="91">
        <f>R482+G482+S482</f>
        <v>33660000</v>
      </c>
      <c r="X482" s="91"/>
    </row>
    <row r="483" spans="1:24" x14ac:dyDescent="0.2">
      <c r="A483" s="117" t="s">
        <v>42</v>
      </c>
      <c r="B483" s="91">
        <f t="shared" ref="B483:G483" si="193">B480+B482-B435</f>
        <v>417600</v>
      </c>
      <c r="C483" s="91">
        <f t="shared" si="193"/>
        <v>35083067</v>
      </c>
      <c r="D483" s="91">
        <f t="shared" si="193"/>
        <v>34606638</v>
      </c>
      <c r="E483" s="91">
        <f t="shared" si="193"/>
        <v>20710669</v>
      </c>
      <c r="F483" s="91">
        <f t="shared" si="193"/>
        <v>24554175</v>
      </c>
      <c r="G483" s="91">
        <f t="shared" si="193"/>
        <v>115372149</v>
      </c>
      <c r="H483" s="91"/>
      <c r="I483" s="91">
        <f t="shared" ref="I483:W483" si="194">I480+I482-I435</f>
        <v>9180000</v>
      </c>
      <c r="J483" s="91">
        <f t="shared" si="194"/>
        <v>2916000</v>
      </c>
      <c r="K483" s="91">
        <f t="shared" si="194"/>
        <v>18417000</v>
      </c>
      <c r="L483" s="91">
        <f t="shared" si="194"/>
        <v>18873000</v>
      </c>
      <c r="M483" s="91">
        <f t="shared" si="194"/>
        <v>3820500</v>
      </c>
      <c r="N483" s="91">
        <f t="shared" si="194"/>
        <v>3467400</v>
      </c>
      <c r="O483" s="91">
        <f t="shared" si="194"/>
        <v>16641000</v>
      </c>
      <c r="P483" s="91">
        <f t="shared" si="194"/>
        <v>30858000</v>
      </c>
      <c r="Q483" s="91">
        <f t="shared" si="194"/>
        <v>0</v>
      </c>
      <c r="R483" s="91">
        <f t="shared" si="194"/>
        <v>104172900</v>
      </c>
      <c r="S483" s="91">
        <f t="shared" si="194"/>
        <v>24701000</v>
      </c>
      <c r="T483" s="91"/>
      <c r="U483" s="91"/>
      <c r="V483" s="91"/>
      <c r="W483" s="91">
        <f t="shared" si="194"/>
        <v>244246049</v>
      </c>
      <c r="X483" s="91">
        <f>X480+W482</f>
        <v>5149619898</v>
      </c>
    </row>
    <row r="484" spans="1:24" x14ac:dyDescent="0.2">
      <c r="A484" s="52"/>
      <c r="B484" s="52"/>
      <c r="C484" s="52"/>
      <c r="D484" s="52"/>
      <c r="E484" s="52"/>
      <c r="F484" s="52"/>
      <c r="G484" s="52"/>
      <c r="H484" s="91"/>
      <c r="I484" s="52"/>
      <c r="J484" s="52"/>
      <c r="K484" s="52"/>
      <c r="L484" s="52"/>
      <c r="M484" s="52"/>
      <c r="N484" s="52"/>
      <c r="O484" s="52"/>
      <c r="P484" s="52"/>
      <c r="Q484" s="52"/>
      <c r="R484" s="52"/>
      <c r="S484" s="91"/>
      <c r="T484" s="91"/>
      <c r="U484" s="91"/>
      <c r="V484" s="91"/>
      <c r="W484" s="52"/>
      <c r="X484" s="91"/>
    </row>
    <row r="485" spans="1:24" x14ac:dyDescent="0.2">
      <c r="A485" s="117" t="s">
        <v>50</v>
      </c>
      <c r="B485" s="91">
        <v>0</v>
      </c>
      <c r="C485" s="91">
        <v>3102000</v>
      </c>
      <c r="D485" s="91">
        <v>2748000</v>
      </c>
      <c r="E485" s="91">
        <v>2115000</v>
      </c>
      <c r="F485" s="91">
        <v>2610000</v>
      </c>
      <c r="G485" s="91">
        <f>SUM(B485:F485)</f>
        <v>10575000</v>
      </c>
      <c r="H485" s="91"/>
      <c r="I485" s="91">
        <v>528000</v>
      </c>
      <c r="J485" s="91">
        <v>225000</v>
      </c>
      <c r="K485" s="91">
        <v>1692000</v>
      </c>
      <c r="L485" s="91">
        <v>1746000</v>
      </c>
      <c r="M485" s="91">
        <v>1089000</v>
      </c>
      <c r="N485" s="91">
        <v>664000</v>
      </c>
      <c r="O485" s="91">
        <v>1680000</v>
      </c>
      <c r="P485" s="91">
        <v>3132000</v>
      </c>
      <c r="Q485" s="91">
        <v>0</v>
      </c>
      <c r="R485" s="91">
        <f>SUM(I485:Q485)</f>
        <v>10756000</v>
      </c>
      <c r="S485" s="91">
        <v>4385000</v>
      </c>
      <c r="T485" s="91"/>
      <c r="U485" s="91"/>
      <c r="V485" s="91"/>
      <c r="W485" s="91">
        <f>R485+G485+S485</f>
        <v>25716000</v>
      </c>
      <c r="X485" s="91"/>
    </row>
    <row r="486" spans="1:24" x14ac:dyDescent="0.2">
      <c r="A486" s="117" t="s">
        <v>42</v>
      </c>
      <c r="B486" s="91">
        <f t="shared" ref="B486:G486" si="195">B483+B485-B438</f>
        <v>417600</v>
      </c>
      <c r="C486" s="91">
        <f t="shared" si="195"/>
        <v>35035067</v>
      </c>
      <c r="D486" s="91">
        <f t="shared" si="195"/>
        <v>34906638</v>
      </c>
      <c r="E486" s="91">
        <f t="shared" si="195"/>
        <v>19090669</v>
      </c>
      <c r="F486" s="91">
        <f t="shared" si="195"/>
        <v>24356175</v>
      </c>
      <c r="G486" s="91">
        <f t="shared" si="195"/>
        <v>113806149</v>
      </c>
      <c r="H486" s="91"/>
      <c r="I486" s="91">
        <f t="shared" ref="I486:W486" si="196">I483+I485-I438</f>
        <v>7968000</v>
      </c>
      <c r="J486" s="91">
        <f t="shared" si="196"/>
        <v>2871000</v>
      </c>
      <c r="K486" s="91">
        <f t="shared" si="196"/>
        <v>18750000</v>
      </c>
      <c r="L486" s="91">
        <f t="shared" si="196"/>
        <v>19044000</v>
      </c>
      <c r="M486" s="91">
        <f t="shared" si="196"/>
        <v>4909500</v>
      </c>
      <c r="N486" s="91">
        <f t="shared" si="196"/>
        <v>3413400</v>
      </c>
      <c r="O486" s="91">
        <f t="shared" si="196"/>
        <v>16680000</v>
      </c>
      <c r="P486" s="91">
        <f t="shared" si="196"/>
        <v>31272000</v>
      </c>
      <c r="Q486" s="91">
        <f t="shared" si="196"/>
        <v>0</v>
      </c>
      <c r="R486" s="91">
        <f t="shared" si="196"/>
        <v>104907900</v>
      </c>
      <c r="S486" s="91">
        <f t="shared" si="196"/>
        <v>24917000</v>
      </c>
      <c r="T486" s="91"/>
      <c r="U486" s="91"/>
      <c r="V486" s="91"/>
      <c r="W486" s="91">
        <f t="shared" si="196"/>
        <v>243631049</v>
      </c>
      <c r="X486" s="91">
        <f>X483+W485</f>
        <v>5175335898</v>
      </c>
    </row>
    <row r="487" spans="1:24" x14ac:dyDescent="0.2">
      <c r="A487" s="52"/>
      <c r="B487" s="52"/>
      <c r="C487" s="52"/>
      <c r="D487" s="52"/>
      <c r="E487" s="52"/>
      <c r="F487" s="52"/>
      <c r="G487" s="52"/>
      <c r="H487" s="91"/>
      <c r="I487" s="52"/>
      <c r="J487" s="52"/>
      <c r="K487" s="52"/>
      <c r="L487" s="52"/>
      <c r="M487" s="52"/>
      <c r="N487" s="52"/>
      <c r="O487" s="52"/>
      <c r="P487" s="52"/>
      <c r="Q487" s="52"/>
      <c r="R487" s="52"/>
      <c r="S487" s="91"/>
      <c r="T487" s="91"/>
      <c r="U487" s="91"/>
      <c r="V487" s="91"/>
      <c r="W487" s="52"/>
      <c r="X487" s="91"/>
    </row>
    <row r="488" spans="1:24" x14ac:dyDescent="0.2">
      <c r="A488" s="117" t="s">
        <v>51</v>
      </c>
      <c r="B488" s="91">
        <v>0</v>
      </c>
      <c r="C488" s="91">
        <v>2514000</v>
      </c>
      <c r="D488" s="91">
        <v>3624000</v>
      </c>
      <c r="E488" s="91">
        <v>18000</v>
      </c>
      <c r="F488" s="91">
        <v>2244000</v>
      </c>
      <c r="G488" s="91">
        <f>SUM(B488:F488)</f>
        <v>8400000</v>
      </c>
      <c r="H488" s="91"/>
      <c r="I488" s="91">
        <v>960000</v>
      </c>
      <c r="J488" s="91">
        <v>0</v>
      </c>
      <c r="K488" s="91">
        <v>1365000</v>
      </c>
      <c r="L488" s="91">
        <v>1479000</v>
      </c>
      <c r="M488" s="91">
        <v>2061000</v>
      </c>
      <c r="N488" s="91">
        <v>650000</v>
      </c>
      <c r="O488" s="91">
        <v>1935000</v>
      </c>
      <c r="P488" s="91">
        <v>3180000</v>
      </c>
      <c r="Q488" s="91">
        <v>1888000</v>
      </c>
      <c r="R488" s="91">
        <f>SUM(I488:Q488)</f>
        <v>13518000</v>
      </c>
      <c r="S488" s="91">
        <v>0</v>
      </c>
      <c r="T488" s="91"/>
      <c r="U488" s="91"/>
      <c r="V488" s="91"/>
      <c r="W488" s="91">
        <f>R488+G488+S488</f>
        <v>21918000</v>
      </c>
      <c r="X488" s="91"/>
    </row>
    <row r="489" spans="1:24" x14ac:dyDescent="0.2">
      <c r="A489" s="117" t="s">
        <v>42</v>
      </c>
      <c r="B489" s="91">
        <f t="shared" ref="B489:G489" si="197">B486+B488-B441</f>
        <v>369600</v>
      </c>
      <c r="C489" s="91">
        <f t="shared" si="197"/>
        <v>34693067</v>
      </c>
      <c r="D489" s="91">
        <f t="shared" si="197"/>
        <v>34306638</v>
      </c>
      <c r="E489" s="91">
        <f t="shared" si="197"/>
        <v>15724669</v>
      </c>
      <c r="F489" s="91">
        <f t="shared" si="197"/>
        <v>24566175</v>
      </c>
      <c r="G489" s="91">
        <f t="shared" si="197"/>
        <v>109660149</v>
      </c>
      <c r="H489" s="91"/>
      <c r="I489" s="91">
        <f t="shared" ref="I489:W489" si="198">I486+I488-I441</f>
        <v>8592000</v>
      </c>
      <c r="J489" s="91">
        <f t="shared" si="198"/>
        <v>2871000</v>
      </c>
      <c r="K489" s="91">
        <f t="shared" si="198"/>
        <v>18747000</v>
      </c>
      <c r="L489" s="91">
        <f t="shared" si="198"/>
        <v>19065000</v>
      </c>
      <c r="M489" s="91">
        <f t="shared" si="198"/>
        <v>6970500</v>
      </c>
      <c r="N489" s="91">
        <f t="shared" si="198"/>
        <v>3305400</v>
      </c>
      <c r="O489" s="91">
        <f t="shared" si="198"/>
        <v>17052000</v>
      </c>
      <c r="P489" s="91">
        <f t="shared" si="198"/>
        <v>31614000</v>
      </c>
      <c r="Q489" s="91">
        <f t="shared" si="198"/>
        <v>1888000</v>
      </c>
      <c r="R489" s="91">
        <f t="shared" si="198"/>
        <v>110104900</v>
      </c>
      <c r="S489" s="91">
        <f t="shared" si="198"/>
        <v>24917000</v>
      </c>
      <c r="T489" s="91"/>
      <c r="U489" s="91"/>
      <c r="V489" s="91"/>
      <c r="W489" s="91">
        <f t="shared" si="198"/>
        <v>244682049</v>
      </c>
      <c r="X489" s="91">
        <f>X486+W488</f>
        <v>5197253898</v>
      </c>
    </row>
    <row r="490" spans="1:24" x14ac:dyDescent="0.2">
      <c r="A490" s="52"/>
      <c r="B490" s="52"/>
      <c r="C490" s="52"/>
      <c r="D490" s="52"/>
      <c r="E490" s="52"/>
      <c r="F490" s="52"/>
      <c r="G490" s="52"/>
      <c r="H490" s="91"/>
      <c r="I490" s="52"/>
      <c r="J490" s="52"/>
      <c r="K490" s="52"/>
      <c r="L490" s="52"/>
      <c r="M490" s="52"/>
      <c r="N490" s="52"/>
      <c r="O490" s="52"/>
      <c r="P490" s="52"/>
      <c r="Q490" s="52"/>
      <c r="R490" s="52"/>
      <c r="S490" s="91"/>
      <c r="T490" s="91"/>
      <c r="U490" s="91"/>
      <c r="V490" s="91"/>
      <c r="W490" s="52"/>
      <c r="X490" s="91"/>
    </row>
    <row r="491" spans="1:24" x14ac:dyDescent="0.2">
      <c r="A491" s="117" t="s">
        <v>52</v>
      </c>
      <c r="B491" s="91">
        <v>0</v>
      </c>
      <c r="C491" s="91">
        <v>2610000</v>
      </c>
      <c r="D491" s="91">
        <v>2268000</v>
      </c>
      <c r="E491" s="91">
        <v>0</v>
      </c>
      <c r="F491" s="91">
        <v>2736000</v>
      </c>
      <c r="G491" s="91">
        <f>SUM(B491:F491)</f>
        <v>7614000</v>
      </c>
      <c r="H491" s="91"/>
      <c r="I491" s="91">
        <v>0</v>
      </c>
      <c r="J491" s="91">
        <v>0</v>
      </c>
      <c r="K491" s="91">
        <v>1722000</v>
      </c>
      <c r="L491" s="91">
        <v>1755000</v>
      </c>
      <c r="M491" s="91">
        <v>0</v>
      </c>
      <c r="N491" s="91">
        <v>198000</v>
      </c>
      <c r="O491" s="91">
        <v>1833000</v>
      </c>
      <c r="P491" s="91">
        <v>2490000</v>
      </c>
      <c r="Q491" s="91">
        <v>0</v>
      </c>
      <c r="R491" s="91">
        <f>SUM(I491:Q491)</f>
        <v>7998000</v>
      </c>
      <c r="S491" s="91">
        <v>0</v>
      </c>
      <c r="T491" s="91"/>
      <c r="U491" s="91"/>
      <c r="V491" s="91"/>
      <c r="W491" s="91">
        <f>R491+G491+S491</f>
        <v>15612000</v>
      </c>
      <c r="X491" s="91"/>
    </row>
    <row r="492" spans="1:24" x14ac:dyDescent="0.2">
      <c r="A492" s="117" t="s">
        <v>42</v>
      </c>
      <c r="B492" s="91">
        <f t="shared" ref="B492:G492" si="199">B489+B491-B444</f>
        <v>350400</v>
      </c>
      <c r="C492" s="91">
        <f t="shared" si="199"/>
        <v>34645067</v>
      </c>
      <c r="D492" s="91">
        <f t="shared" si="199"/>
        <v>32530638</v>
      </c>
      <c r="E492" s="91">
        <f t="shared" si="199"/>
        <v>15031669</v>
      </c>
      <c r="F492" s="91">
        <f t="shared" si="199"/>
        <v>24626175</v>
      </c>
      <c r="G492" s="91">
        <f t="shared" si="199"/>
        <v>107183949</v>
      </c>
      <c r="H492" s="91"/>
      <c r="I492" s="91">
        <f t="shared" ref="I492:W492" si="200">I489+I491-I444</f>
        <v>8448000</v>
      </c>
      <c r="J492" s="91">
        <f t="shared" si="200"/>
        <v>2871000</v>
      </c>
      <c r="K492" s="91">
        <f t="shared" si="200"/>
        <v>18786000</v>
      </c>
      <c r="L492" s="91">
        <f t="shared" si="200"/>
        <v>19140000</v>
      </c>
      <c r="M492" s="91">
        <f t="shared" si="200"/>
        <v>6970500</v>
      </c>
      <c r="N492" s="91">
        <f t="shared" si="200"/>
        <v>3259400</v>
      </c>
      <c r="O492" s="91">
        <f t="shared" si="200"/>
        <v>17373000</v>
      </c>
      <c r="P492" s="91">
        <f t="shared" si="200"/>
        <v>31164000</v>
      </c>
      <c r="Q492" s="91">
        <f t="shared" si="200"/>
        <v>1888000</v>
      </c>
      <c r="R492" s="91">
        <f t="shared" si="200"/>
        <v>109899900</v>
      </c>
      <c r="S492" s="91">
        <f t="shared" si="200"/>
        <v>24917000</v>
      </c>
      <c r="T492" s="91"/>
      <c r="U492" s="91"/>
      <c r="V492" s="91"/>
      <c r="W492" s="91">
        <f t="shared" si="200"/>
        <v>242000849</v>
      </c>
      <c r="X492" s="91">
        <f>X489+W491</f>
        <v>5212865898</v>
      </c>
    </row>
    <row r="493" spans="1:24" x14ac:dyDescent="0.2">
      <c r="A493" s="52"/>
      <c r="B493" s="52"/>
      <c r="C493" s="52"/>
      <c r="D493" s="52"/>
      <c r="E493" s="52"/>
      <c r="F493" s="52"/>
      <c r="G493" s="52"/>
      <c r="H493" s="91"/>
      <c r="I493" s="52"/>
      <c r="J493" s="52"/>
      <c r="K493" s="52"/>
      <c r="L493" s="52"/>
      <c r="M493" s="52"/>
      <c r="N493" s="52"/>
      <c r="O493" s="52"/>
      <c r="P493" s="52"/>
      <c r="Q493" s="52"/>
      <c r="R493" s="52"/>
      <c r="S493" s="91"/>
      <c r="T493" s="91"/>
      <c r="U493" s="91"/>
      <c r="V493" s="91"/>
      <c r="W493" s="52"/>
      <c r="X493" s="91"/>
    </row>
    <row r="494" spans="1:24" x14ac:dyDescent="0.2">
      <c r="A494" s="117" t="s">
        <v>53</v>
      </c>
      <c r="B494" s="91">
        <v>0</v>
      </c>
      <c r="C494" s="91">
        <v>2808000</v>
      </c>
      <c r="D494" s="91">
        <v>1500000</v>
      </c>
      <c r="E494" s="91">
        <v>0</v>
      </c>
      <c r="F494" s="91">
        <v>2478000</v>
      </c>
      <c r="G494" s="91">
        <f>SUM(B494:F494)</f>
        <v>6786000</v>
      </c>
      <c r="H494" s="91"/>
      <c r="I494" s="91">
        <v>0</v>
      </c>
      <c r="J494" s="91">
        <v>0</v>
      </c>
      <c r="K494" s="91">
        <v>1524000</v>
      </c>
      <c r="L494" s="91">
        <v>1740000</v>
      </c>
      <c r="M494" s="91">
        <v>0</v>
      </c>
      <c r="N494" s="91">
        <v>0</v>
      </c>
      <c r="O494" s="91">
        <v>1737000</v>
      </c>
      <c r="P494" s="91">
        <v>3042000</v>
      </c>
      <c r="Q494" s="91">
        <v>0</v>
      </c>
      <c r="R494" s="91">
        <f>SUM(I494:Q494)</f>
        <v>8043000</v>
      </c>
      <c r="S494" s="91">
        <v>0</v>
      </c>
      <c r="T494" s="91"/>
      <c r="U494" s="91"/>
      <c r="V494" s="91"/>
      <c r="W494" s="91">
        <f>R494+G494+S494</f>
        <v>14829000</v>
      </c>
      <c r="X494" s="91"/>
    </row>
    <row r="495" spans="1:24" x14ac:dyDescent="0.2">
      <c r="A495" s="117" t="s">
        <v>42</v>
      </c>
      <c r="B495" s="91">
        <f t="shared" ref="B495:G495" si="201">B492+B494-B447</f>
        <v>350400</v>
      </c>
      <c r="C495" s="91">
        <f t="shared" si="201"/>
        <v>34471067</v>
      </c>
      <c r="D495" s="91">
        <f t="shared" si="201"/>
        <v>31594638</v>
      </c>
      <c r="E495" s="91">
        <f t="shared" si="201"/>
        <v>13735669</v>
      </c>
      <c r="F495" s="91">
        <f t="shared" si="201"/>
        <v>25466175</v>
      </c>
      <c r="G495" s="91">
        <f t="shared" si="201"/>
        <v>105617949</v>
      </c>
      <c r="H495" s="91"/>
      <c r="I495" s="91">
        <f t="shared" ref="I495:W495" si="202">I492+I494-I447</f>
        <v>8448000</v>
      </c>
      <c r="J495" s="91">
        <f t="shared" si="202"/>
        <v>2871000</v>
      </c>
      <c r="K495" s="91">
        <f t="shared" si="202"/>
        <v>18480000</v>
      </c>
      <c r="L495" s="91">
        <f t="shared" si="202"/>
        <v>19059000</v>
      </c>
      <c r="M495" s="91">
        <f t="shared" si="202"/>
        <v>6970500</v>
      </c>
      <c r="N495" s="91">
        <f t="shared" si="202"/>
        <v>3259400</v>
      </c>
      <c r="O495" s="91">
        <f t="shared" si="202"/>
        <v>17283000</v>
      </c>
      <c r="P495" s="91">
        <f t="shared" si="202"/>
        <v>31464000</v>
      </c>
      <c r="Q495" s="91">
        <f t="shared" si="202"/>
        <v>1888000</v>
      </c>
      <c r="R495" s="91">
        <f t="shared" si="202"/>
        <v>109722900</v>
      </c>
      <c r="S495" s="91">
        <f t="shared" si="202"/>
        <v>24917000</v>
      </c>
      <c r="T495" s="91"/>
      <c r="U495" s="91"/>
      <c r="V495" s="91"/>
      <c r="W495" s="91">
        <f t="shared" si="202"/>
        <v>240257849</v>
      </c>
      <c r="X495" s="91">
        <f>X492+W494</f>
        <v>5227694898</v>
      </c>
    </row>
    <row r="500" spans="1:24" ht="27" x14ac:dyDescent="0.35">
      <c r="A500" s="126" t="s">
        <v>111</v>
      </c>
      <c r="B500" s="121"/>
      <c r="C500" s="121"/>
      <c r="D500" s="122"/>
      <c r="E500" s="121"/>
      <c r="F500" s="121"/>
      <c r="G500" s="121"/>
      <c r="H500" s="121"/>
      <c r="I500" s="121"/>
      <c r="J500" s="121"/>
      <c r="K500" s="121"/>
      <c r="L500" s="123"/>
      <c r="M500" s="124"/>
      <c r="N500" s="121"/>
      <c r="O500" s="121"/>
      <c r="P500" s="121"/>
      <c r="Q500" s="121"/>
      <c r="R500" s="121"/>
      <c r="S500" s="121"/>
      <c r="T500" s="121"/>
      <c r="U500" s="121"/>
      <c r="V500" s="121"/>
      <c r="W500" s="125"/>
      <c r="X500" s="121"/>
    </row>
    <row r="501" spans="1:24" x14ac:dyDescent="0.2">
      <c r="A501" s="52"/>
      <c r="B501" s="52"/>
      <c r="C501" s="21"/>
      <c r="D501" s="115"/>
      <c r="E501" s="52"/>
      <c r="F501" s="115"/>
      <c r="G501" s="52"/>
      <c r="H501" s="115"/>
      <c r="I501" s="115"/>
      <c r="J501" s="115"/>
      <c r="K501" s="52"/>
      <c r="L501" s="115"/>
      <c r="M501" s="52"/>
      <c r="N501" s="52"/>
      <c r="O501" s="52"/>
      <c r="P501" s="52"/>
      <c r="Q501" s="52"/>
      <c r="R501" s="52"/>
      <c r="S501" s="52"/>
      <c r="T501" s="52"/>
      <c r="U501" s="52"/>
      <c r="V501" s="52"/>
      <c r="W501" s="91"/>
      <c r="X501" s="91"/>
    </row>
    <row r="502" spans="1:24" ht="27.75" thickBot="1" x14ac:dyDescent="0.4">
      <c r="A502" s="126" t="s">
        <v>107</v>
      </c>
      <c r="B502" s="121"/>
      <c r="C502" s="121"/>
      <c r="D502" s="121"/>
      <c r="E502" s="121"/>
      <c r="F502" s="122"/>
      <c r="G502" s="121"/>
      <c r="H502" s="121"/>
      <c r="I502" s="121"/>
      <c r="J502" s="121"/>
      <c r="K502" s="121"/>
      <c r="L502" s="121"/>
      <c r="M502" s="121"/>
      <c r="N502" s="121"/>
      <c r="O502" s="121"/>
      <c r="P502" s="121"/>
      <c r="Q502" s="121"/>
      <c r="R502" s="121"/>
      <c r="S502" s="121"/>
      <c r="T502" s="121"/>
      <c r="U502" s="121"/>
      <c r="V502" s="121"/>
      <c r="W502" s="125"/>
      <c r="X502" s="125"/>
    </row>
    <row r="503" spans="1:24" x14ac:dyDescent="0.2">
      <c r="A503" s="174"/>
      <c r="B503" s="173"/>
      <c r="C503" s="173"/>
      <c r="D503" s="173"/>
      <c r="E503" s="173"/>
      <c r="F503" s="173"/>
      <c r="G503" s="173"/>
      <c r="H503" s="173"/>
      <c r="I503" s="173"/>
      <c r="J503" s="173"/>
      <c r="K503" s="173"/>
      <c r="L503" s="173"/>
      <c r="M503" s="173"/>
      <c r="N503" s="173"/>
      <c r="O503" s="173"/>
      <c r="P503" s="173"/>
      <c r="Q503" s="173"/>
      <c r="R503" s="173"/>
      <c r="S503" s="173"/>
      <c r="T503" s="173"/>
      <c r="U503" s="173"/>
      <c r="V503" s="173"/>
      <c r="W503" s="173"/>
      <c r="X503" s="181"/>
    </row>
    <row r="504" spans="1:24" ht="13.5" thickBot="1" x14ac:dyDescent="0.25">
      <c r="A504" s="176"/>
      <c r="B504" s="179" t="s">
        <v>112</v>
      </c>
      <c r="C504" s="177"/>
      <c r="D504" s="177"/>
      <c r="E504" s="177"/>
      <c r="F504" s="177"/>
      <c r="G504" s="177"/>
      <c r="H504" s="177"/>
      <c r="I504" s="177"/>
      <c r="J504" s="177"/>
      <c r="K504" s="177"/>
      <c r="L504" s="179" t="s">
        <v>113</v>
      </c>
      <c r="M504" s="177"/>
      <c r="N504" s="177"/>
      <c r="O504" s="177"/>
      <c r="P504" s="177"/>
      <c r="Q504" s="177"/>
      <c r="R504" s="177"/>
      <c r="S504" s="177"/>
      <c r="T504" s="177"/>
      <c r="U504" s="177"/>
      <c r="V504" s="177"/>
      <c r="W504" s="177"/>
      <c r="X504" s="182"/>
    </row>
    <row r="505" spans="1:24" x14ac:dyDescent="0.2">
      <c r="A505" s="175"/>
      <c r="B505" s="155" t="s">
        <v>11</v>
      </c>
      <c r="C505" s="155" t="s">
        <v>12</v>
      </c>
      <c r="D505" s="155" t="s">
        <v>13</v>
      </c>
      <c r="E505" s="155" t="s">
        <v>14</v>
      </c>
      <c r="F505" s="155" t="s">
        <v>15</v>
      </c>
      <c r="G505" s="193" t="s">
        <v>16</v>
      </c>
      <c r="H505" s="21"/>
      <c r="I505" s="155" t="s">
        <v>17</v>
      </c>
      <c r="J505" s="21"/>
      <c r="K505" s="21"/>
      <c r="L505" s="21"/>
      <c r="M505" s="21"/>
      <c r="N505" s="155" t="s">
        <v>18</v>
      </c>
      <c r="O505" s="155" t="s">
        <v>19</v>
      </c>
      <c r="P505" s="155" t="s">
        <v>20</v>
      </c>
      <c r="Q505" s="155" t="s">
        <v>21</v>
      </c>
      <c r="R505" s="193" t="s">
        <v>16</v>
      </c>
      <c r="S505" s="193" t="s">
        <v>114</v>
      </c>
      <c r="T505" s="207"/>
      <c r="U505" s="207"/>
      <c r="V505" s="207"/>
      <c r="W505" s="155" t="s">
        <v>7</v>
      </c>
      <c r="X505" s="194" t="s">
        <v>70</v>
      </c>
    </row>
    <row r="506" spans="1:24" ht="13.5" thickBot="1" x14ac:dyDescent="0.25">
      <c r="A506" s="176"/>
      <c r="B506" s="179" t="s">
        <v>23</v>
      </c>
      <c r="C506" s="179" t="s">
        <v>24</v>
      </c>
      <c r="D506" s="179" t="s">
        <v>25</v>
      </c>
      <c r="E506" s="179" t="s">
        <v>26</v>
      </c>
      <c r="F506" s="179" t="s">
        <v>27</v>
      </c>
      <c r="G506" s="195" t="s">
        <v>28</v>
      </c>
      <c r="H506" s="179"/>
      <c r="I506" s="179" t="s">
        <v>29</v>
      </c>
      <c r="J506" s="179" t="s">
        <v>30</v>
      </c>
      <c r="K506" s="179" t="s">
        <v>31</v>
      </c>
      <c r="L506" s="179" t="s">
        <v>32</v>
      </c>
      <c r="M506" s="179" t="s">
        <v>33</v>
      </c>
      <c r="N506" s="179" t="s">
        <v>34</v>
      </c>
      <c r="O506" s="179" t="s">
        <v>35</v>
      </c>
      <c r="P506" s="179" t="s">
        <v>36</v>
      </c>
      <c r="Q506" s="179" t="s">
        <v>37</v>
      </c>
      <c r="R506" s="195" t="s">
        <v>28</v>
      </c>
      <c r="S506" s="195" t="s">
        <v>115</v>
      </c>
      <c r="T506" s="179"/>
      <c r="U506" s="179"/>
      <c r="V506" s="179"/>
      <c r="W506" s="179" t="s">
        <v>10</v>
      </c>
      <c r="X506" s="196" t="s">
        <v>71</v>
      </c>
    </row>
    <row r="507" spans="1:24" x14ac:dyDescent="0.2">
      <c r="A507" s="175"/>
      <c r="B507" s="117"/>
      <c r="C507" s="117"/>
      <c r="D507" s="117"/>
      <c r="E507" s="117"/>
      <c r="F507" s="117"/>
      <c r="G507" s="178"/>
      <c r="H507" s="52"/>
      <c r="I507" s="117"/>
      <c r="J507" s="117"/>
      <c r="K507" s="117"/>
      <c r="L507" s="117"/>
      <c r="M507" s="117"/>
      <c r="N507" s="117"/>
      <c r="O507" s="117"/>
      <c r="P507" s="117"/>
      <c r="Q507" s="117"/>
      <c r="R507" s="178"/>
      <c r="S507" s="184"/>
      <c r="T507" s="185"/>
      <c r="U507" s="185"/>
      <c r="V507" s="185"/>
      <c r="W507" s="185"/>
      <c r="X507" s="183"/>
    </row>
    <row r="508" spans="1:24" x14ac:dyDescent="0.2">
      <c r="A508" s="191" t="s">
        <v>41</v>
      </c>
      <c r="B508" s="91">
        <v>134400</v>
      </c>
      <c r="C508" s="91">
        <v>2856000</v>
      </c>
      <c r="D508" s="91">
        <v>2592000</v>
      </c>
      <c r="E508" s="91">
        <v>0</v>
      </c>
      <c r="F508" s="91">
        <v>2256000</v>
      </c>
      <c r="G508" s="180">
        <f>SUM(B508:F508)</f>
        <v>7838400</v>
      </c>
      <c r="H508" s="91"/>
      <c r="I508" s="91">
        <v>756000</v>
      </c>
      <c r="J508" s="91">
        <v>0</v>
      </c>
      <c r="K508" s="91">
        <v>1368000</v>
      </c>
      <c r="L508" s="91">
        <v>1320000</v>
      </c>
      <c r="M508" s="91">
        <v>0</v>
      </c>
      <c r="N508" s="91">
        <v>0</v>
      </c>
      <c r="O508" s="91">
        <v>1209000</v>
      </c>
      <c r="P508" s="91">
        <v>2442000</v>
      </c>
      <c r="Q508" s="91">
        <v>0</v>
      </c>
      <c r="R508" s="180">
        <f>SUM(I508:Q508)</f>
        <v>7095000</v>
      </c>
      <c r="S508" s="184">
        <v>0</v>
      </c>
      <c r="T508" s="185"/>
      <c r="U508" s="185"/>
      <c r="V508" s="185"/>
      <c r="W508" s="186">
        <f>R508+G508</f>
        <v>14933400</v>
      </c>
      <c r="X508" s="46"/>
    </row>
    <row r="509" spans="1:24" x14ac:dyDescent="0.2">
      <c r="A509" s="191" t="s">
        <v>42</v>
      </c>
      <c r="B509" s="91">
        <f t="shared" ref="B509:G509" si="203">B495+B508-B461</f>
        <v>484800</v>
      </c>
      <c r="C509" s="91">
        <f t="shared" si="203"/>
        <v>34105067</v>
      </c>
      <c r="D509" s="91">
        <f t="shared" si="203"/>
        <v>31282638</v>
      </c>
      <c r="E509" s="91">
        <f t="shared" si="203"/>
        <v>13735669</v>
      </c>
      <c r="F509" s="91">
        <f t="shared" si="203"/>
        <v>26090175</v>
      </c>
      <c r="G509" s="180">
        <f t="shared" si="203"/>
        <v>105698349</v>
      </c>
      <c r="H509" s="91"/>
      <c r="I509" s="91">
        <f t="shared" ref="I509:W509" si="204">I495+I508-I461</f>
        <v>9204000</v>
      </c>
      <c r="J509" s="91">
        <f t="shared" si="204"/>
        <v>2871000</v>
      </c>
      <c r="K509" s="91">
        <f t="shared" si="204"/>
        <v>18087000</v>
      </c>
      <c r="L509" s="91">
        <f t="shared" si="204"/>
        <v>18663000</v>
      </c>
      <c r="M509" s="91">
        <f t="shared" si="204"/>
        <v>6970500</v>
      </c>
      <c r="N509" s="91">
        <f t="shared" si="204"/>
        <v>3259400</v>
      </c>
      <c r="O509" s="91">
        <f t="shared" si="204"/>
        <v>16965000</v>
      </c>
      <c r="P509" s="91">
        <f t="shared" si="204"/>
        <v>30684000</v>
      </c>
      <c r="Q509" s="91">
        <f t="shared" si="204"/>
        <v>1888000</v>
      </c>
      <c r="R509" s="180">
        <f t="shared" si="204"/>
        <v>108591900</v>
      </c>
      <c r="S509" s="186">
        <f t="shared" si="204"/>
        <v>24917000</v>
      </c>
      <c r="T509" s="186"/>
      <c r="U509" s="186"/>
      <c r="V509" s="186"/>
      <c r="W509" s="186">
        <f t="shared" si="204"/>
        <v>239207249</v>
      </c>
      <c r="X509" s="46">
        <f>X495+W508</f>
        <v>5242628298</v>
      </c>
    </row>
    <row r="510" spans="1:24" x14ac:dyDescent="0.2">
      <c r="A510" s="191"/>
      <c r="B510" s="52"/>
      <c r="C510" s="52"/>
      <c r="D510" s="52"/>
      <c r="E510" s="52"/>
      <c r="F510" s="52"/>
      <c r="G510" s="180"/>
      <c r="H510" s="91"/>
      <c r="I510" s="52"/>
      <c r="J510" s="52"/>
      <c r="K510" s="52"/>
      <c r="L510" s="52"/>
      <c r="M510" s="52"/>
      <c r="N510" s="52"/>
      <c r="O510" s="52"/>
      <c r="P510" s="52"/>
      <c r="Q510" s="52"/>
      <c r="R510" s="180"/>
      <c r="S510" s="184"/>
      <c r="T510" s="185"/>
      <c r="U510" s="185"/>
      <c r="V510" s="185"/>
      <c r="W510" s="186"/>
      <c r="X510" s="46"/>
    </row>
    <row r="511" spans="1:24" x14ac:dyDescent="0.2">
      <c r="A511" s="191" t="s">
        <v>43</v>
      </c>
      <c r="B511" s="91">
        <v>0</v>
      </c>
      <c r="C511" s="91">
        <v>3216000</v>
      </c>
      <c r="D511" s="91">
        <v>2892000</v>
      </c>
      <c r="E511" s="91">
        <v>0</v>
      </c>
      <c r="F511" s="91">
        <v>1680000</v>
      </c>
      <c r="G511" s="180">
        <f>SUM(B511:F511)</f>
        <v>7788000</v>
      </c>
      <c r="H511" s="91"/>
      <c r="I511" s="91">
        <v>0</v>
      </c>
      <c r="J511" s="91">
        <v>0</v>
      </c>
      <c r="K511" s="91">
        <v>1647000</v>
      </c>
      <c r="L511" s="91">
        <v>1656000</v>
      </c>
      <c r="M511" s="91">
        <v>0</v>
      </c>
      <c r="N511" s="91">
        <v>0</v>
      </c>
      <c r="O511" s="91">
        <v>1200000</v>
      </c>
      <c r="P511" s="91">
        <v>0</v>
      </c>
      <c r="Q511" s="91">
        <v>0</v>
      </c>
      <c r="R511" s="180">
        <f>SUM(I511:Q511)</f>
        <v>4503000</v>
      </c>
      <c r="S511" s="184">
        <v>0</v>
      </c>
      <c r="T511" s="185"/>
      <c r="U511" s="185"/>
      <c r="V511" s="185"/>
      <c r="W511" s="186">
        <f>R511+G511</f>
        <v>12291000</v>
      </c>
      <c r="X511" s="46"/>
    </row>
    <row r="512" spans="1:24" x14ac:dyDescent="0.2">
      <c r="A512" s="191" t="s">
        <v>42</v>
      </c>
      <c r="B512" s="91">
        <f t="shared" ref="B512:G512" si="205">B509+B511-B464</f>
        <v>484800</v>
      </c>
      <c r="C512" s="91">
        <f t="shared" si="205"/>
        <v>34537067</v>
      </c>
      <c r="D512" s="91">
        <f t="shared" si="205"/>
        <v>32458638</v>
      </c>
      <c r="E512" s="91">
        <f t="shared" si="205"/>
        <v>13735669</v>
      </c>
      <c r="F512" s="91">
        <f t="shared" si="205"/>
        <v>26954175</v>
      </c>
      <c r="G512" s="180">
        <f t="shared" si="205"/>
        <v>108170349</v>
      </c>
      <c r="H512" s="91"/>
      <c r="I512" s="91">
        <f t="shared" ref="I512:W512" si="206">I509+I511-I464</f>
        <v>8784000</v>
      </c>
      <c r="J512" s="91">
        <f t="shared" si="206"/>
        <v>2871000</v>
      </c>
      <c r="K512" s="91">
        <f t="shared" si="206"/>
        <v>18561000</v>
      </c>
      <c r="L512" s="91">
        <f t="shared" si="206"/>
        <v>19149000</v>
      </c>
      <c r="M512" s="91">
        <f t="shared" si="206"/>
        <v>6970500</v>
      </c>
      <c r="N512" s="91">
        <f t="shared" si="206"/>
        <v>3225400</v>
      </c>
      <c r="O512" s="91">
        <f t="shared" si="206"/>
        <v>17250000</v>
      </c>
      <c r="P512" s="91">
        <f t="shared" si="206"/>
        <v>28800000</v>
      </c>
      <c r="Q512" s="91">
        <f t="shared" si="206"/>
        <v>1888000</v>
      </c>
      <c r="R512" s="180">
        <f t="shared" si="206"/>
        <v>107498900</v>
      </c>
      <c r="S512" s="186">
        <f t="shared" si="206"/>
        <v>24917000</v>
      </c>
      <c r="T512" s="186"/>
      <c r="U512" s="186"/>
      <c r="V512" s="186"/>
      <c r="W512" s="186">
        <f t="shared" si="206"/>
        <v>240586249</v>
      </c>
      <c r="X512" s="46">
        <f>X509+W511</f>
        <v>5254919298</v>
      </c>
    </row>
    <row r="513" spans="1:24" x14ac:dyDescent="0.2">
      <c r="A513" s="191"/>
      <c r="B513" s="91"/>
      <c r="C513" s="91"/>
      <c r="D513" s="91"/>
      <c r="E513" s="91"/>
      <c r="F513" s="91"/>
      <c r="G513" s="180"/>
      <c r="H513" s="91"/>
      <c r="I513" s="91"/>
      <c r="J513" s="91"/>
      <c r="K513" s="91"/>
      <c r="L513" s="91"/>
      <c r="M513" s="91"/>
      <c r="N513" s="91"/>
      <c r="O513" s="91"/>
      <c r="P513" s="91"/>
      <c r="Q513" s="91"/>
      <c r="R513" s="180"/>
      <c r="S513" s="184"/>
      <c r="T513" s="185"/>
      <c r="U513" s="185"/>
      <c r="V513" s="185"/>
      <c r="W513" s="186"/>
      <c r="X513" s="46"/>
    </row>
    <row r="514" spans="1:24" x14ac:dyDescent="0.2">
      <c r="A514" s="191" t="s">
        <v>44</v>
      </c>
      <c r="B514" s="91">
        <v>0</v>
      </c>
      <c r="C514" s="91">
        <v>3234000</v>
      </c>
      <c r="D514" s="91">
        <v>2796000</v>
      </c>
      <c r="E514" s="91">
        <v>0</v>
      </c>
      <c r="F514" s="91">
        <v>2454000</v>
      </c>
      <c r="G514" s="180">
        <f>SUM(B514:F514)</f>
        <v>8484000</v>
      </c>
      <c r="H514" s="91"/>
      <c r="I514" s="91">
        <v>0</v>
      </c>
      <c r="J514" s="91">
        <v>0</v>
      </c>
      <c r="K514" s="91">
        <v>1869000</v>
      </c>
      <c r="L514" s="91">
        <v>1830000</v>
      </c>
      <c r="M514" s="91">
        <v>2034000</v>
      </c>
      <c r="N514" s="91">
        <v>0</v>
      </c>
      <c r="O514" s="91">
        <v>1305000</v>
      </c>
      <c r="P514" s="91">
        <v>84000</v>
      </c>
      <c r="Q514" s="91">
        <v>0</v>
      </c>
      <c r="R514" s="180">
        <f>SUM(I514:Q514)</f>
        <v>7122000</v>
      </c>
      <c r="S514" s="184">
        <v>0</v>
      </c>
      <c r="T514" s="185"/>
      <c r="U514" s="185"/>
      <c r="V514" s="185"/>
      <c r="W514" s="186">
        <f>R514+G514</f>
        <v>15606000</v>
      </c>
      <c r="X514" s="46"/>
    </row>
    <row r="515" spans="1:24" x14ac:dyDescent="0.2">
      <c r="A515" s="191" t="s">
        <v>42</v>
      </c>
      <c r="B515" s="91">
        <f t="shared" ref="B515:G515" si="207">B512+B514-B467</f>
        <v>484800</v>
      </c>
      <c r="C515" s="91">
        <f t="shared" si="207"/>
        <v>34309067</v>
      </c>
      <c r="D515" s="91">
        <f t="shared" si="207"/>
        <v>35254638</v>
      </c>
      <c r="E515" s="91">
        <f t="shared" si="207"/>
        <v>13735669</v>
      </c>
      <c r="F515" s="91">
        <f t="shared" si="207"/>
        <v>27848175</v>
      </c>
      <c r="G515" s="180">
        <f t="shared" si="207"/>
        <v>111632349</v>
      </c>
      <c r="H515" s="91"/>
      <c r="I515" s="91">
        <f t="shared" ref="I515:W515" si="208">I512+I514-I467</f>
        <v>8784000</v>
      </c>
      <c r="J515" s="91">
        <f t="shared" si="208"/>
        <v>2871000</v>
      </c>
      <c r="K515" s="91">
        <f t="shared" si="208"/>
        <v>18564000</v>
      </c>
      <c r="L515" s="91">
        <f t="shared" si="208"/>
        <v>19137000</v>
      </c>
      <c r="M515" s="91">
        <f t="shared" si="208"/>
        <v>8707500</v>
      </c>
      <c r="N515" s="91">
        <f t="shared" si="208"/>
        <v>3225400</v>
      </c>
      <c r="O515" s="91">
        <f t="shared" si="208"/>
        <v>16938000</v>
      </c>
      <c r="P515" s="91">
        <f t="shared" si="208"/>
        <v>27012000</v>
      </c>
      <c r="Q515" s="91">
        <f t="shared" si="208"/>
        <v>1888000</v>
      </c>
      <c r="R515" s="180">
        <f t="shared" si="208"/>
        <v>107126900</v>
      </c>
      <c r="S515" s="186">
        <f t="shared" si="208"/>
        <v>24917000</v>
      </c>
      <c r="T515" s="186"/>
      <c r="U515" s="186"/>
      <c r="V515" s="186"/>
      <c r="W515" s="186">
        <f t="shared" si="208"/>
        <v>243676249</v>
      </c>
      <c r="X515" s="46">
        <f>X512+W514</f>
        <v>5270525298</v>
      </c>
    </row>
    <row r="516" spans="1:24" x14ac:dyDescent="0.2">
      <c r="A516" s="191"/>
      <c r="B516" s="52"/>
      <c r="C516" s="52"/>
      <c r="D516" s="52"/>
      <c r="E516" s="52"/>
      <c r="F516" s="52"/>
      <c r="G516" s="180"/>
      <c r="H516" s="91"/>
      <c r="I516" s="52"/>
      <c r="J516" s="52"/>
      <c r="K516" s="52"/>
      <c r="L516" s="52"/>
      <c r="M516" s="52"/>
      <c r="N516" s="52"/>
      <c r="O516" s="52"/>
      <c r="P516" s="52"/>
      <c r="Q516" s="52"/>
      <c r="R516" s="180"/>
      <c r="S516" s="184"/>
      <c r="T516" s="185"/>
      <c r="U516" s="185"/>
      <c r="V516" s="185"/>
      <c r="W516" s="186"/>
      <c r="X516" s="46"/>
    </row>
    <row r="517" spans="1:24" x14ac:dyDescent="0.2">
      <c r="A517" s="191" t="s">
        <v>45</v>
      </c>
      <c r="B517" s="91">
        <v>0</v>
      </c>
      <c r="C517" s="91">
        <v>3300000</v>
      </c>
      <c r="D517" s="91">
        <v>3684000</v>
      </c>
      <c r="E517" s="91">
        <v>2250000</v>
      </c>
      <c r="F517" s="91">
        <v>2748000</v>
      </c>
      <c r="G517" s="180">
        <f>SUM(B517:F517)</f>
        <v>11982000</v>
      </c>
      <c r="H517" s="91"/>
      <c r="I517" s="91">
        <v>0</v>
      </c>
      <c r="J517" s="91">
        <v>0</v>
      </c>
      <c r="K517" s="91">
        <v>1725000</v>
      </c>
      <c r="L517" s="91">
        <v>1719000</v>
      </c>
      <c r="M517" s="91">
        <v>1494000</v>
      </c>
      <c r="N517" s="91">
        <v>0</v>
      </c>
      <c r="O517" s="91">
        <v>1443000</v>
      </c>
      <c r="P517" s="91">
        <v>924000</v>
      </c>
      <c r="Q517" s="91">
        <v>0</v>
      </c>
      <c r="R517" s="180">
        <f>SUM(I517:Q517)</f>
        <v>7305000</v>
      </c>
      <c r="S517" s="186">
        <v>4340000</v>
      </c>
      <c r="T517" s="186"/>
      <c r="U517" s="186"/>
      <c r="V517" s="186"/>
      <c r="W517" s="186">
        <f>R517+G517+S517</f>
        <v>23627000</v>
      </c>
      <c r="X517" s="46"/>
    </row>
    <row r="518" spans="1:24" x14ac:dyDescent="0.2">
      <c r="A518" s="191" t="s">
        <v>42</v>
      </c>
      <c r="B518" s="91">
        <f t="shared" ref="B518:G518" si="209">B515+B517-B470</f>
        <v>244800</v>
      </c>
      <c r="C518" s="91">
        <f t="shared" si="209"/>
        <v>34909067</v>
      </c>
      <c r="D518" s="91">
        <f t="shared" si="209"/>
        <v>35758638</v>
      </c>
      <c r="E518" s="91">
        <f t="shared" si="209"/>
        <v>14158669</v>
      </c>
      <c r="F518" s="91">
        <f t="shared" si="209"/>
        <v>28736175</v>
      </c>
      <c r="G518" s="180">
        <f t="shared" si="209"/>
        <v>113807349</v>
      </c>
      <c r="H518" s="91"/>
      <c r="I518" s="91">
        <f t="shared" ref="I518:W518" si="210">I515+I517-I470</f>
        <v>7536000</v>
      </c>
      <c r="J518" s="91">
        <f t="shared" si="210"/>
        <v>2871000</v>
      </c>
      <c r="K518" s="91">
        <f t="shared" si="210"/>
        <v>18900000</v>
      </c>
      <c r="L518" s="91">
        <f t="shared" si="210"/>
        <v>19374000</v>
      </c>
      <c r="M518" s="91">
        <f t="shared" si="210"/>
        <v>10174500</v>
      </c>
      <c r="N518" s="91">
        <f t="shared" si="210"/>
        <v>3225400</v>
      </c>
      <c r="O518" s="91">
        <f t="shared" si="210"/>
        <v>17442000</v>
      </c>
      <c r="P518" s="91">
        <f t="shared" si="210"/>
        <v>26844000</v>
      </c>
      <c r="Q518" s="91">
        <f t="shared" si="210"/>
        <v>1888000</v>
      </c>
      <c r="R518" s="180">
        <f t="shared" si="210"/>
        <v>108254900</v>
      </c>
      <c r="S518" s="186">
        <f t="shared" si="210"/>
        <v>26131000</v>
      </c>
      <c r="T518" s="186"/>
      <c r="U518" s="186"/>
      <c r="V518" s="186"/>
      <c r="W518" s="186">
        <f t="shared" si="210"/>
        <v>248193249</v>
      </c>
      <c r="X518" s="46">
        <f>X515+W517</f>
        <v>5294152298</v>
      </c>
    </row>
    <row r="519" spans="1:24" x14ac:dyDescent="0.2">
      <c r="A519" s="191"/>
      <c r="B519" s="52"/>
      <c r="C519" s="52"/>
      <c r="D519" s="52"/>
      <c r="E519" s="52"/>
      <c r="F519" s="52"/>
      <c r="G519" s="180"/>
      <c r="H519" s="91"/>
      <c r="I519" s="52"/>
      <c r="J519" s="52"/>
      <c r="K519" s="52"/>
      <c r="L519" s="52"/>
      <c r="M519" s="52"/>
      <c r="N519" s="52"/>
      <c r="O519" s="52"/>
      <c r="P519" s="52"/>
      <c r="Q519" s="52"/>
      <c r="R519" s="180"/>
      <c r="S519" s="186"/>
      <c r="T519" s="186"/>
      <c r="U519" s="186"/>
      <c r="V519" s="186"/>
      <c r="W519" s="186"/>
      <c r="X519" s="46"/>
    </row>
    <row r="520" spans="1:24" x14ac:dyDescent="0.2">
      <c r="A520" s="191" t="s">
        <v>46</v>
      </c>
      <c r="B520" s="91">
        <v>0</v>
      </c>
      <c r="C520" s="91">
        <v>3498000</v>
      </c>
      <c r="D520" s="91">
        <v>2424000</v>
      </c>
      <c r="E520" s="91">
        <v>783000</v>
      </c>
      <c r="F520" s="91">
        <v>2916000</v>
      </c>
      <c r="G520" s="180">
        <f>SUM(B520:F520)</f>
        <v>9621000</v>
      </c>
      <c r="H520" s="91"/>
      <c r="I520" s="91">
        <v>0</v>
      </c>
      <c r="J520" s="91">
        <v>0</v>
      </c>
      <c r="K520" s="91">
        <v>1638000</v>
      </c>
      <c r="L520" s="91">
        <v>1560000</v>
      </c>
      <c r="M520" s="91">
        <v>1494000</v>
      </c>
      <c r="N520" s="91">
        <v>194000</v>
      </c>
      <c r="O520" s="91">
        <v>723000</v>
      </c>
      <c r="P520" s="91">
        <v>3276000</v>
      </c>
      <c r="Q520" s="91">
        <v>0</v>
      </c>
      <c r="R520" s="180">
        <f>SUM(I520:Q520)</f>
        <v>8885000</v>
      </c>
      <c r="S520" s="186">
        <v>4163000</v>
      </c>
      <c r="T520" s="186"/>
      <c r="U520" s="186"/>
      <c r="V520" s="186"/>
      <c r="W520" s="186">
        <f>R520+G520+S520</f>
        <v>22669000</v>
      </c>
      <c r="X520" s="46"/>
    </row>
    <row r="521" spans="1:24" x14ac:dyDescent="0.2">
      <c r="A521" s="191" t="s">
        <v>42</v>
      </c>
      <c r="B521" s="91">
        <f t="shared" ref="B521:G521" si="211">B518+B520-B473</f>
        <v>134400</v>
      </c>
      <c r="C521" s="91">
        <f t="shared" si="211"/>
        <v>36985067</v>
      </c>
      <c r="D521" s="91">
        <f t="shared" si="211"/>
        <v>36094638</v>
      </c>
      <c r="E521" s="91">
        <f t="shared" si="211"/>
        <v>12772669</v>
      </c>
      <c r="F521" s="91">
        <f t="shared" si="211"/>
        <v>30008175</v>
      </c>
      <c r="G521" s="180">
        <f t="shared" si="211"/>
        <v>115994949</v>
      </c>
      <c r="H521" s="91"/>
      <c r="I521" s="91">
        <f t="shared" ref="I521:W521" si="212">I518+I520-I473</f>
        <v>7020000</v>
      </c>
      <c r="J521" s="91">
        <f t="shared" si="212"/>
        <v>2871000</v>
      </c>
      <c r="K521" s="91">
        <f t="shared" si="212"/>
        <v>19725000</v>
      </c>
      <c r="L521" s="91">
        <f t="shared" si="212"/>
        <v>20079000</v>
      </c>
      <c r="M521" s="91">
        <f t="shared" si="212"/>
        <v>10390500</v>
      </c>
      <c r="N521" s="91">
        <f t="shared" si="212"/>
        <v>3419400</v>
      </c>
      <c r="O521" s="91">
        <f t="shared" si="212"/>
        <v>17763000</v>
      </c>
      <c r="P521" s="91">
        <f t="shared" si="212"/>
        <v>28134000</v>
      </c>
      <c r="Q521" s="91">
        <f t="shared" si="212"/>
        <v>1888000</v>
      </c>
      <c r="R521" s="180">
        <f t="shared" si="212"/>
        <v>111289900</v>
      </c>
      <c r="S521" s="186">
        <f t="shared" si="212"/>
        <v>26188000</v>
      </c>
      <c r="T521" s="186"/>
      <c r="U521" s="186"/>
      <c r="V521" s="186"/>
      <c r="W521" s="186">
        <f t="shared" si="212"/>
        <v>253472849</v>
      </c>
      <c r="X521" s="46">
        <f>X518+W520</f>
        <v>5316821298</v>
      </c>
    </row>
    <row r="522" spans="1:24" x14ac:dyDescent="0.2">
      <c r="A522" s="191"/>
      <c r="B522" s="52"/>
      <c r="C522" s="52"/>
      <c r="D522" s="52"/>
      <c r="E522" s="52"/>
      <c r="F522" s="52"/>
      <c r="G522" s="180"/>
      <c r="H522" s="91"/>
      <c r="I522" s="52"/>
      <c r="J522" s="52"/>
      <c r="K522" s="52"/>
      <c r="L522" s="52"/>
      <c r="M522" s="52"/>
      <c r="N522" s="52"/>
      <c r="O522" s="52"/>
      <c r="P522" s="52"/>
      <c r="Q522" s="52"/>
      <c r="R522" s="180"/>
      <c r="S522" s="186"/>
      <c r="T522" s="186"/>
      <c r="U522" s="186"/>
      <c r="V522" s="186"/>
      <c r="W522" s="186"/>
      <c r="X522" s="46"/>
    </row>
    <row r="523" spans="1:24" x14ac:dyDescent="0.2">
      <c r="A523" s="191" t="s">
        <v>47</v>
      </c>
      <c r="B523" s="91">
        <v>0</v>
      </c>
      <c r="C523" s="91">
        <v>3252000</v>
      </c>
      <c r="D523" s="91">
        <v>2664000</v>
      </c>
      <c r="E523" s="91">
        <v>2286000</v>
      </c>
      <c r="F523" s="91">
        <v>2844000</v>
      </c>
      <c r="G523" s="180">
        <f>SUM(B523:F523)</f>
        <v>11046000</v>
      </c>
      <c r="H523" s="91"/>
      <c r="I523" s="91">
        <v>0</v>
      </c>
      <c r="J523" s="91">
        <v>0</v>
      </c>
      <c r="K523" s="91">
        <v>1731000</v>
      </c>
      <c r="L523" s="91">
        <v>1716000</v>
      </c>
      <c r="M523" s="91">
        <v>1899000</v>
      </c>
      <c r="N523" s="91">
        <v>390000</v>
      </c>
      <c r="O523" s="91">
        <v>462000</v>
      </c>
      <c r="P523" s="91">
        <v>3282000</v>
      </c>
      <c r="Q523" s="91">
        <v>0</v>
      </c>
      <c r="R523" s="180">
        <f>SUM(I523:Q523)</f>
        <v>9480000</v>
      </c>
      <c r="S523" s="186">
        <v>4510000</v>
      </c>
      <c r="T523" s="186"/>
      <c r="U523" s="186"/>
      <c r="V523" s="186"/>
      <c r="W523" s="186">
        <f>R523+G523+S523</f>
        <v>25036000</v>
      </c>
      <c r="X523" s="46"/>
    </row>
    <row r="524" spans="1:24" x14ac:dyDescent="0.2">
      <c r="A524" s="191" t="s">
        <v>42</v>
      </c>
      <c r="B524" s="91">
        <f t="shared" ref="B524:G524" si="213">B521+B523-B476</f>
        <v>134400</v>
      </c>
      <c r="C524" s="91">
        <f t="shared" si="213"/>
        <v>36966000</v>
      </c>
      <c r="D524" s="91">
        <f t="shared" si="213"/>
        <v>36024000</v>
      </c>
      <c r="E524" s="91">
        <f t="shared" si="213"/>
        <v>12888000</v>
      </c>
      <c r="F524" s="91">
        <f t="shared" si="213"/>
        <v>30510000</v>
      </c>
      <c r="G524" s="180">
        <f t="shared" si="213"/>
        <v>116522400</v>
      </c>
      <c r="H524" s="91"/>
      <c r="I524" s="91">
        <f t="shared" ref="I524:W524" si="214">I521+I523-I476</f>
        <v>7020000</v>
      </c>
      <c r="J524" s="91">
        <f t="shared" si="214"/>
        <v>2871000</v>
      </c>
      <c r="K524" s="91">
        <f t="shared" si="214"/>
        <v>19656000</v>
      </c>
      <c r="L524" s="91">
        <f t="shared" si="214"/>
        <v>19974000</v>
      </c>
      <c r="M524" s="91">
        <f t="shared" si="214"/>
        <v>11835000</v>
      </c>
      <c r="N524" s="91">
        <f t="shared" si="214"/>
        <v>3660000</v>
      </c>
      <c r="O524" s="91">
        <f t="shared" si="214"/>
        <v>16782000</v>
      </c>
      <c r="P524" s="91">
        <f t="shared" si="214"/>
        <v>28518000</v>
      </c>
      <c r="Q524" s="91">
        <f t="shared" si="214"/>
        <v>1888000</v>
      </c>
      <c r="R524" s="180">
        <f t="shared" si="214"/>
        <v>112204000</v>
      </c>
      <c r="S524" s="186">
        <f t="shared" si="214"/>
        <v>26917000</v>
      </c>
      <c r="T524" s="186"/>
      <c r="U524" s="186"/>
      <c r="V524" s="186"/>
      <c r="W524" s="186">
        <f t="shared" si="214"/>
        <v>255643400</v>
      </c>
      <c r="X524" s="46">
        <f>X521+W523</f>
        <v>5341857298</v>
      </c>
    </row>
    <row r="525" spans="1:24" x14ac:dyDescent="0.2">
      <c r="A525" s="191"/>
      <c r="B525" s="52"/>
      <c r="C525" s="52"/>
      <c r="D525" s="52"/>
      <c r="E525" s="52"/>
      <c r="F525" s="52"/>
      <c r="G525" s="180"/>
      <c r="H525" s="91"/>
      <c r="I525" s="52"/>
      <c r="J525" s="52"/>
      <c r="K525" s="52"/>
      <c r="L525" s="52"/>
      <c r="M525" s="52"/>
      <c r="N525" s="52"/>
      <c r="O525" s="52"/>
      <c r="P525" s="52"/>
      <c r="Q525" s="52"/>
      <c r="R525" s="180"/>
      <c r="S525" s="186" t="s">
        <v>105</v>
      </c>
      <c r="T525" s="186"/>
      <c r="U525" s="186"/>
      <c r="V525" s="186"/>
      <c r="W525" s="186"/>
      <c r="X525" s="46"/>
    </row>
    <row r="526" spans="1:24" x14ac:dyDescent="0.2">
      <c r="A526" s="191" t="s">
        <v>48</v>
      </c>
      <c r="B526" s="91">
        <v>0</v>
      </c>
      <c r="C526" s="91">
        <v>3336000</v>
      </c>
      <c r="D526" s="91">
        <v>3864000</v>
      </c>
      <c r="E526" s="91">
        <v>3573000</v>
      </c>
      <c r="F526" s="91">
        <v>3024000</v>
      </c>
      <c r="G526" s="180">
        <f>SUM(B526:F526)</f>
        <v>13797000</v>
      </c>
      <c r="H526" s="91"/>
      <c r="I526" s="91">
        <v>0</v>
      </c>
      <c r="J526" s="91">
        <v>0</v>
      </c>
      <c r="K526" s="91">
        <v>1560000</v>
      </c>
      <c r="L526" s="91">
        <v>1626000</v>
      </c>
      <c r="M526" s="91">
        <v>2124000</v>
      </c>
      <c r="N526" s="91">
        <v>610000</v>
      </c>
      <c r="O526" s="91">
        <v>1119000</v>
      </c>
      <c r="P526" s="91">
        <v>3450000</v>
      </c>
      <c r="Q526" s="91">
        <v>940000</v>
      </c>
      <c r="R526" s="180">
        <f>SUM(I526:Q526)</f>
        <v>11429000</v>
      </c>
      <c r="S526" s="186">
        <v>6717000</v>
      </c>
      <c r="T526" s="186"/>
      <c r="U526" s="186"/>
      <c r="V526" s="186"/>
      <c r="W526" s="186">
        <f>R526+G526+S526</f>
        <v>31943000</v>
      </c>
      <c r="X526" s="46"/>
    </row>
    <row r="527" spans="1:24" x14ac:dyDescent="0.2">
      <c r="A527" s="191" t="s">
        <v>42</v>
      </c>
      <c r="B527" s="91">
        <f t="shared" ref="B527:G527" si="215">B524+B526-B479</f>
        <v>134400</v>
      </c>
      <c r="C527" s="91">
        <f t="shared" si="215"/>
        <v>37020000</v>
      </c>
      <c r="D527" s="91">
        <f t="shared" si="215"/>
        <v>35916000</v>
      </c>
      <c r="E527" s="91">
        <f t="shared" si="215"/>
        <v>14049000</v>
      </c>
      <c r="F527" s="91">
        <f t="shared" si="215"/>
        <v>30552000</v>
      </c>
      <c r="G527" s="180">
        <f t="shared" si="215"/>
        <v>117671400</v>
      </c>
      <c r="H527" s="91"/>
      <c r="I527" s="91">
        <f t="shared" ref="I527:W527" si="216">I524+I526-I479</f>
        <v>5352000</v>
      </c>
      <c r="J527" s="91">
        <f t="shared" si="216"/>
        <v>1980000</v>
      </c>
      <c r="K527" s="91">
        <f t="shared" si="216"/>
        <v>19593000</v>
      </c>
      <c r="L527" s="91">
        <f t="shared" si="216"/>
        <v>19932000</v>
      </c>
      <c r="M527" s="91">
        <f t="shared" si="216"/>
        <v>13518000</v>
      </c>
      <c r="N527" s="91">
        <f t="shared" si="216"/>
        <v>3428000</v>
      </c>
      <c r="O527" s="91">
        <f t="shared" si="216"/>
        <v>16215000</v>
      </c>
      <c r="P527" s="91">
        <f t="shared" si="216"/>
        <v>28608000</v>
      </c>
      <c r="Q527" s="91">
        <f t="shared" si="216"/>
        <v>2828000</v>
      </c>
      <c r="R527" s="180">
        <f t="shared" si="216"/>
        <v>111454000</v>
      </c>
      <c r="S527" s="186">
        <f t="shared" si="216"/>
        <v>28715000</v>
      </c>
      <c r="T527" s="186"/>
      <c r="U527" s="186"/>
      <c r="V527" s="186"/>
      <c r="W527" s="186">
        <f t="shared" si="216"/>
        <v>257840400</v>
      </c>
      <c r="X527" s="46">
        <f>X524+W526</f>
        <v>5373800298</v>
      </c>
    </row>
    <row r="528" spans="1:24" x14ac:dyDescent="0.2">
      <c r="A528" s="191"/>
      <c r="B528" s="52"/>
      <c r="C528" s="52"/>
      <c r="D528" s="52"/>
      <c r="E528" s="52"/>
      <c r="F528" s="52"/>
      <c r="G528" s="180"/>
      <c r="H528" s="91"/>
      <c r="I528" s="52"/>
      <c r="J528" s="52"/>
      <c r="K528" s="52"/>
      <c r="L528" s="52"/>
      <c r="M528" s="52"/>
      <c r="N528" s="52"/>
      <c r="O528" s="52"/>
      <c r="P528" s="52"/>
      <c r="Q528" s="52"/>
      <c r="R528" s="180"/>
      <c r="S528" s="186"/>
      <c r="T528" s="186"/>
      <c r="U528" s="186"/>
      <c r="V528" s="186"/>
      <c r="W528" s="186"/>
      <c r="X528" s="46"/>
    </row>
    <row r="529" spans="1:24" x14ac:dyDescent="0.2">
      <c r="A529" s="191" t="s">
        <v>49</v>
      </c>
      <c r="B529" s="91">
        <v>0</v>
      </c>
      <c r="C529" s="91">
        <v>3108000</v>
      </c>
      <c r="D529" s="91">
        <v>4368000</v>
      </c>
      <c r="E529" s="91">
        <v>3627000</v>
      </c>
      <c r="F529" s="91">
        <v>2736000</v>
      </c>
      <c r="G529" s="180">
        <f>SUM(B529:F529)</f>
        <v>13839000</v>
      </c>
      <c r="H529" s="91"/>
      <c r="I529" s="91">
        <v>0</v>
      </c>
      <c r="J529" s="91">
        <v>0</v>
      </c>
      <c r="K529" s="91">
        <v>1533000</v>
      </c>
      <c r="L529" s="91">
        <v>1641000</v>
      </c>
      <c r="M529" s="91">
        <v>1926000</v>
      </c>
      <c r="N529" s="91">
        <v>576000</v>
      </c>
      <c r="O529" s="91">
        <v>1128000</v>
      </c>
      <c r="P529" s="91">
        <v>3318000</v>
      </c>
      <c r="Q529" s="91">
        <v>1140000</v>
      </c>
      <c r="R529" s="180">
        <f>SUM(I529:Q529)</f>
        <v>11262000</v>
      </c>
      <c r="S529" s="186">
        <v>6821000</v>
      </c>
      <c r="T529" s="186"/>
      <c r="U529" s="186"/>
      <c r="V529" s="186"/>
      <c r="W529" s="186">
        <f>R529+G529+S529</f>
        <v>31922000</v>
      </c>
      <c r="X529" s="46"/>
    </row>
    <row r="530" spans="1:24" x14ac:dyDescent="0.2">
      <c r="A530" s="191" t="s">
        <v>42</v>
      </c>
      <c r="B530" s="91">
        <f t="shared" ref="B530:G530" si="217">B527+B529-B482</f>
        <v>134400</v>
      </c>
      <c r="C530" s="91">
        <f t="shared" si="217"/>
        <v>36834000</v>
      </c>
      <c r="D530" s="91">
        <f t="shared" si="217"/>
        <v>35424000</v>
      </c>
      <c r="E530" s="91">
        <f t="shared" si="217"/>
        <v>14652000</v>
      </c>
      <c r="F530" s="91">
        <f t="shared" si="217"/>
        <v>30726000</v>
      </c>
      <c r="G530" s="180">
        <f t="shared" si="217"/>
        <v>117770400</v>
      </c>
      <c r="H530" s="91"/>
      <c r="I530" s="91">
        <f t="shared" ref="I530:W530" si="218">I527+I529-I482</f>
        <v>2244000</v>
      </c>
      <c r="J530" s="91">
        <f t="shared" si="218"/>
        <v>225000</v>
      </c>
      <c r="K530" s="91">
        <f t="shared" si="218"/>
        <v>19374000</v>
      </c>
      <c r="L530" s="91">
        <f t="shared" si="218"/>
        <v>19788000</v>
      </c>
      <c r="M530" s="91">
        <f t="shared" si="218"/>
        <v>14121000</v>
      </c>
      <c r="N530" s="91">
        <f t="shared" si="218"/>
        <v>3282000</v>
      </c>
      <c r="O530" s="91">
        <f t="shared" si="218"/>
        <v>15774000</v>
      </c>
      <c r="P530" s="91">
        <f t="shared" si="218"/>
        <v>28620000</v>
      </c>
      <c r="Q530" s="91">
        <f t="shared" si="218"/>
        <v>3968000</v>
      </c>
      <c r="R530" s="180">
        <f t="shared" si="218"/>
        <v>107396000</v>
      </c>
      <c r="S530" s="186">
        <f t="shared" si="218"/>
        <v>30936000</v>
      </c>
      <c r="T530" s="186"/>
      <c r="U530" s="186"/>
      <c r="V530" s="186"/>
      <c r="W530" s="186">
        <f t="shared" si="218"/>
        <v>256102400</v>
      </c>
      <c r="X530" s="46">
        <f>X527+W529</f>
        <v>5405722298</v>
      </c>
    </row>
    <row r="531" spans="1:24" x14ac:dyDescent="0.2">
      <c r="A531" s="191"/>
      <c r="B531" s="52"/>
      <c r="C531" s="52"/>
      <c r="D531" s="52"/>
      <c r="E531" s="52"/>
      <c r="F531" s="52"/>
      <c r="G531" s="180"/>
      <c r="H531" s="91"/>
      <c r="I531" s="52"/>
      <c r="J531" s="52"/>
      <c r="K531" s="52"/>
      <c r="L531" s="52"/>
      <c r="M531" s="52"/>
      <c r="N531" s="52"/>
      <c r="O531" s="52"/>
      <c r="P531" s="52"/>
      <c r="Q531" s="52"/>
      <c r="R531" s="180"/>
      <c r="S531" s="186"/>
      <c r="T531" s="186"/>
      <c r="U531" s="186"/>
      <c r="V531" s="186"/>
      <c r="W531" s="186"/>
      <c r="X531" s="46"/>
    </row>
    <row r="532" spans="1:24" x14ac:dyDescent="0.2">
      <c r="A532" s="191" t="s">
        <v>50</v>
      </c>
      <c r="B532" s="91">
        <v>0</v>
      </c>
      <c r="C532" s="91">
        <v>3030000</v>
      </c>
      <c r="D532" s="91">
        <v>4104000</v>
      </c>
      <c r="E532" s="91">
        <v>2997000</v>
      </c>
      <c r="F532" s="91">
        <v>2934000</v>
      </c>
      <c r="G532" s="180">
        <f>SUM(B532:F532)</f>
        <v>13065000</v>
      </c>
      <c r="H532" s="91"/>
      <c r="I532" s="91">
        <v>0</v>
      </c>
      <c r="J532" s="91">
        <v>0</v>
      </c>
      <c r="K532" s="91">
        <v>1620000</v>
      </c>
      <c r="L532" s="91">
        <v>1695000</v>
      </c>
      <c r="M532" s="91">
        <v>2394000</v>
      </c>
      <c r="N532" s="91">
        <v>512000</v>
      </c>
      <c r="O532" s="91">
        <v>972000</v>
      </c>
      <c r="P532" s="91">
        <v>3114000</v>
      </c>
      <c r="Q532" s="91">
        <v>1104000</v>
      </c>
      <c r="R532" s="180">
        <f>SUM(I532:Q532)</f>
        <v>11411000</v>
      </c>
      <c r="S532" s="186">
        <v>5568000</v>
      </c>
      <c r="T532" s="186"/>
      <c r="U532" s="186"/>
      <c r="V532" s="186"/>
      <c r="W532" s="186">
        <f>R532+G532+S532</f>
        <v>30044000</v>
      </c>
      <c r="X532" s="46"/>
    </row>
    <row r="533" spans="1:24" x14ac:dyDescent="0.2">
      <c r="A533" s="191" t="s">
        <v>42</v>
      </c>
      <c r="B533" s="91">
        <f t="shared" ref="B533:G533" si="219">B530+B532-B485</f>
        <v>134400</v>
      </c>
      <c r="C533" s="91">
        <f t="shared" si="219"/>
        <v>36762000</v>
      </c>
      <c r="D533" s="91">
        <f t="shared" si="219"/>
        <v>36780000</v>
      </c>
      <c r="E533" s="91">
        <f t="shared" si="219"/>
        <v>15534000</v>
      </c>
      <c r="F533" s="91">
        <f t="shared" si="219"/>
        <v>31050000</v>
      </c>
      <c r="G533" s="180">
        <f t="shared" si="219"/>
        <v>120260400</v>
      </c>
      <c r="H533" s="91"/>
      <c r="I533" s="91">
        <f t="shared" ref="I533:W533" si="220">I530+I532-I485</f>
        <v>1716000</v>
      </c>
      <c r="J533" s="91">
        <f t="shared" si="220"/>
        <v>0</v>
      </c>
      <c r="K533" s="91">
        <f t="shared" si="220"/>
        <v>19302000</v>
      </c>
      <c r="L533" s="91">
        <f t="shared" si="220"/>
        <v>19737000</v>
      </c>
      <c r="M533" s="91">
        <f t="shared" si="220"/>
        <v>15426000</v>
      </c>
      <c r="N533" s="91">
        <f t="shared" si="220"/>
        <v>3130000</v>
      </c>
      <c r="O533" s="91">
        <f t="shared" si="220"/>
        <v>15066000</v>
      </c>
      <c r="P533" s="91">
        <f t="shared" si="220"/>
        <v>28602000</v>
      </c>
      <c r="Q533" s="91">
        <f t="shared" si="220"/>
        <v>5072000</v>
      </c>
      <c r="R533" s="180">
        <f t="shared" si="220"/>
        <v>108051000</v>
      </c>
      <c r="S533" s="186">
        <f t="shared" si="220"/>
        <v>32119000</v>
      </c>
      <c r="T533" s="186"/>
      <c r="U533" s="186"/>
      <c r="V533" s="186"/>
      <c r="W533" s="186">
        <f t="shared" si="220"/>
        <v>260430400</v>
      </c>
      <c r="X533" s="46">
        <f>X530+W532</f>
        <v>5435766298</v>
      </c>
    </row>
    <row r="534" spans="1:24" x14ac:dyDescent="0.2">
      <c r="A534" s="191"/>
      <c r="B534" s="52"/>
      <c r="C534" s="52"/>
      <c r="D534" s="52"/>
      <c r="E534" s="52"/>
      <c r="F534" s="52"/>
      <c r="G534" s="180"/>
      <c r="H534" s="91"/>
      <c r="I534" s="52"/>
      <c r="J534" s="52"/>
      <c r="K534" s="52"/>
      <c r="L534" s="52"/>
      <c r="M534" s="52"/>
      <c r="N534" s="52"/>
      <c r="O534" s="52"/>
      <c r="P534" s="52"/>
      <c r="Q534" s="52"/>
      <c r="R534" s="180"/>
      <c r="S534" s="186"/>
      <c r="T534" s="186"/>
      <c r="U534" s="186"/>
      <c r="V534" s="186"/>
      <c r="W534" s="186"/>
      <c r="X534" s="46"/>
    </row>
    <row r="535" spans="1:24" x14ac:dyDescent="0.2">
      <c r="A535" s="191" t="s">
        <v>51</v>
      </c>
      <c r="B535" s="91">
        <v>403200</v>
      </c>
      <c r="C535" s="91">
        <v>2881759</v>
      </c>
      <c r="D535" s="91">
        <v>5269224</v>
      </c>
      <c r="E535" s="91">
        <v>2737958</v>
      </c>
      <c r="F535" s="91">
        <v>1921073</v>
      </c>
      <c r="G535" s="180">
        <f>SUM(B535:F535)</f>
        <v>13213214</v>
      </c>
      <c r="H535" s="91"/>
      <c r="I535" s="91">
        <v>2760000</v>
      </c>
      <c r="J535" s="91">
        <v>1562400</v>
      </c>
      <c r="K535" s="91">
        <v>1554000</v>
      </c>
      <c r="L535" s="91">
        <v>1548000</v>
      </c>
      <c r="M535" s="91">
        <v>3474000</v>
      </c>
      <c r="N535" s="91">
        <v>659600</v>
      </c>
      <c r="O535" s="91">
        <v>1158000</v>
      </c>
      <c r="P535" s="91">
        <v>2184000</v>
      </c>
      <c r="Q535" s="91">
        <v>460000</v>
      </c>
      <c r="R535" s="180">
        <f>SUM(I535:Q535)</f>
        <v>15360000</v>
      </c>
      <c r="S535" s="186">
        <v>5602000</v>
      </c>
      <c r="T535" s="186"/>
      <c r="U535" s="186"/>
      <c r="V535" s="186"/>
      <c r="W535" s="186">
        <f>R535+G535+S535</f>
        <v>34175214</v>
      </c>
      <c r="X535" s="46"/>
    </row>
    <row r="536" spans="1:24" x14ac:dyDescent="0.2">
      <c r="A536" s="191" t="s">
        <v>42</v>
      </c>
      <c r="B536" s="91">
        <f t="shared" ref="B536:G536" si="221">B533+B535-B488</f>
        <v>537600</v>
      </c>
      <c r="C536" s="91">
        <f t="shared" si="221"/>
        <v>37129759</v>
      </c>
      <c r="D536" s="91">
        <f t="shared" si="221"/>
        <v>38425224</v>
      </c>
      <c r="E536" s="91">
        <f t="shared" si="221"/>
        <v>18253958</v>
      </c>
      <c r="F536" s="91">
        <f t="shared" si="221"/>
        <v>30727073</v>
      </c>
      <c r="G536" s="180">
        <f t="shared" si="221"/>
        <v>125073614</v>
      </c>
      <c r="H536" s="91"/>
      <c r="I536" s="91">
        <f t="shared" ref="I536:W536" si="222">I533+I535-I488</f>
        <v>3516000</v>
      </c>
      <c r="J536" s="91">
        <f t="shared" si="222"/>
        <v>1562400</v>
      </c>
      <c r="K536" s="91">
        <f t="shared" si="222"/>
        <v>19491000</v>
      </c>
      <c r="L536" s="91">
        <f t="shared" si="222"/>
        <v>19806000</v>
      </c>
      <c r="M536" s="91">
        <f t="shared" si="222"/>
        <v>16839000</v>
      </c>
      <c r="N536" s="91">
        <f t="shared" si="222"/>
        <v>3139600</v>
      </c>
      <c r="O536" s="91">
        <f t="shared" si="222"/>
        <v>14289000</v>
      </c>
      <c r="P536" s="91">
        <f t="shared" si="222"/>
        <v>27606000</v>
      </c>
      <c r="Q536" s="91">
        <f t="shared" si="222"/>
        <v>3644000</v>
      </c>
      <c r="R536" s="180">
        <f t="shared" si="222"/>
        <v>109893000</v>
      </c>
      <c r="S536" s="186">
        <f t="shared" si="222"/>
        <v>37721000</v>
      </c>
      <c r="T536" s="186"/>
      <c r="U536" s="186"/>
      <c r="V536" s="186"/>
      <c r="W536" s="186">
        <f t="shared" si="222"/>
        <v>272687614</v>
      </c>
      <c r="X536" s="46">
        <f>X533+W535</f>
        <v>5469941512</v>
      </c>
    </row>
    <row r="537" spans="1:24" x14ac:dyDescent="0.2">
      <c r="A537" s="191"/>
      <c r="B537" s="52"/>
      <c r="C537" s="52"/>
      <c r="D537" s="52"/>
      <c r="E537" s="52"/>
      <c r="F537" s="52"/>
      <c r="G537" s="180"/>
      <c r="H537" s="91"/>
      <c r="I537" s="52"/>
      <c r="J537" s="52"/>
      <c r="K537" s="52"/>
      <c r="L537" s="52"/>
      <c r="M537" s="52"/>
      <c r="N537" s="52"/>
      <c r="O537" s="52"/>
      <c r="P537" s="52"/>
      <c r="Q537" s="52"/>
      <c r="R537" s="180"/>
      <c r="S537" s="186"/>
      <c r="T537" s="186"/>
      <c r="U537" s="186"/>
      <c r="V537" s="186"/>
      <c r="W537" s="186"/>
      <c r="X537" s="46"/>
    </row>
    <row r="538" spans="1:24" x14ac:dyDescent="0.2">
      <c r="A538" s="191" t="s">
        <v>52</v>
      </c>
      <c r="B538" s="91">
        <v>316800</v>
      </c>
      <c r="C538" s="91">
        <v>2832000</v>
      </c>
      <c r="D538" s="91">
        <v>5148000</v>
      </c>
      <c r="E538" s="91">
        <v>1125000</v>
      </c>
      <c r="F538" s="91">
        <v>2820000</v>
      </c>
      <c r="G538" s="180">
        <f>SUM(B538:F538)</f>
        <v>12241800</v>
      </c>
      <c r="H538" s="91"/>
      <c r="I538" s="91">
        <v>1944000</v>
      </c>
      <c r="J538" s="91">
        <v>819000</v>
      </c>
      <c r="K538" s="91">
        <v>1743000</v>
      </c>
      <c r="L538" s="91">
        <v>1734000</v>
      </c>
      <c r="M538" s="91">
        <v>945000</v>
      </c>
      <c r="N538" s="91">
        <v>512000</v>
      </c>
      <c r="O538" s="91">
        <v>1335000</v>
      </c>
      <c r="P538" s="91">
        <v>3000000</v>
      </c>
      <c r="Q538" s="91">
        <v>0</v>
      </c>
      <c r="R538" s="180">
        <f>SUM(I538:Q538)</f>
        <v>12032000</v>
      </c>
      <c r="S538" s="186">
        <v>5231000</v>
      </c>
      <c r="T538" s="186"/>
      <c r="U538" s="186"/>
      <c r="V538" s="186"/>
      <c r="W538" s="186">
        <f>R538+G538+S538</f>
        <v>29504800</v>
      </c>
      <c r="X538" s="46"/>
    </row>
    <row r="539" spans="1:24" x14ac:dyDescent="0.2">
      <c r="A539" s="191" t="s">
        <v>42</v>
      </c>
      <c r="B539" s="91">
        <f t="shared" ref="B539:G539" si="223">B536+B538-B491</f>
        <v>854400</v>
      </c>
      <c r="C539" s="91">
        <f t="shared" si="223"/>
        <v>37351759</v>
      </c>
      <c r="D539" s="91">
        <f t="shared" si="223"/>
        <v>41305224</v>
      </c>
      <c r="E539" s="91">
        <f t="shared" si="223"/>
        <v>19378958</v>
      </c>
      <c r="F539" s="91">
        <f t="shared" si="223"/>
        <v>30811073</v>
      </c>
      <c r="G539" s="180">
        <f t="shared" si="223"/>
        <v>129701414</v>
      </c>
      <c r="H539" s="91"/>
      <c r="I539" s="91">
        <f t="shared" ref="I539:W539" si="224">I536+I538-I491</f>
        <v>5460000</v>
      </c>
      <c r="J539" s="91">
        <f t="shared" si="224"/>
        <v>2381400</v>
      </c>
      <c r="K539" s="91">
        <f t="shared" si="224"/>
        <v>19512000</v>
      </c>
      <c r="L539" s="91">
        <f t="shared" si="224"/>
        <v>19785000</v>
      </c>
      <c r="M539" s="91">
        <f t="shared" si="224"/>
        <v>17784000</v>
      </c>
      <c r="N539" s="91">
        <f t="shared" si="224"/>
        <v>3453600</v>
      </c>
      <c r="O539" s="91">
        <f t="shared" si="224"/>
        <v>13791000</v>
      </c>
      <c r="P539" s="91">
        <f t="shared" si="224"/>
        <v>28116000</v>
      </c>
      <c r="Q539" s="91">
        <f t="shared" si="224"/>
        <v>3644000</v>
      </c>
      <c r="R539" s="180">
        <f t="shared" si="224"/>
        <v>113927000</v>
      </c>
      <c r="S539" s="186">
        <f t="shared" si="224"/>
        <v>42952000</v>
      </c>
      <c r="T539" s="186"/>
      <c r="U539" s="186"/>
      <c r="V539" s="186"/>
      <c r="W539" s="186">
        <f t="shared" si="224"/>
        <v>286580414</v>
      </c>
      <c r="X539" s="46">
        <f>X536+W538</f>
        <v>5499446312</v>
      </c>
    </row>
    <row r="540" spans="1:24" x14ac:dyDescent="0.2">
      <c r="A540" s="191"/>
      <c r="B540" s="52"/>
      <c r="C540" s="52"/>
      <c r="D540" s="52"/>
      <c r="E540" s="52"/>
      <c r="F540" s="52"/>
      <c r="G540" s="180"/>
      <c r="H540" s="91"/>
      <c r="I540" s="52"/>
      <c r="J540" s="52"/>
      <c r="K540" s="52"/>
      <c r="L540" s="52"/>
      <c r="M540" s="52"/>
      <c r="N540" s="52"/>
      <c r="O540" s="52"/>
      <c r="P540" s="52"/>
      <c r="Q540" s="52"/>
      <c r="R540" s="180"/>
      <c r="S540" s="186"/>
      <c r="T540" s="186"/>
      <c r="U540" s="186"/>
      <c r="V540" s="186"/>
      <c r="W540" s="186"/>
      <c r="X540" s="46"/>
    </row>
    <row r="541" spans="1:24" x14ac:dyDescent="0.2">
      <c r="A541" s="191" t="s">
        <v>53</v>
      </c>
      <c r="B541" s="91">
        <v>105600</v>
      </c>
      <c r="C541" s="91">
        <v>3108000</v>
      </c>
      <c r="D541" s="91">
        <v>5040000</v>
      </c>
      <c r="E541" s="91">
        <v>3276000</v>
      </c>
      <c r="F541" s="91">
        <v>2946000</v>
      </c>
      <c r="G541" s="180">
        <f>SUM(B541:F541)</f>
        <v>14475600</v>
      </c>
      <c r="H541" s="91"/>
      <c r="I541" s="91">
        <v>2460000</v>
      </c>
      <c r="J541" s="91">
        <v>0</v>
      </c>
      <c r="K541" s="91">
        <v>1854000</v>
      </c>
      <c r="L541" s="91">
        <v>1845000</v>
      </c>
      <c r="M541" s="91">
        <v>1989000</v>
      </c>
      <c r="N541" s="91">
        <v>306000</v>
      </c>
      <c r="O541" s="91">
        <v>1554000</v>
      </c>
      <c r="P541" s="91">
        <v>3192000</v>
      </c>
      <c r="Q541" s="91">
        <v>0</v>
      </c>
      <c r="R541" s="180">
        <f>SUM(I541:Q541)</f>
        <v>13200000</v>
      </c>
      <c r="S541" s="186">
        <v>5795000</v>
      </c>
      <c r="T541" s="186"/>
      <c r="U541" s="186"/>
      <c r="V541" s="186"/>
      <c r="W541" s="186">
        <f>R541+G541+S541</f>
        <v>33470600</v>
      </c>
      <c r="X541" s="46"/>
    </row>
    <row r="542" spans="1:24" ht="13.5" thickBot="1" x14ac:dyDescent="0.25">
      <c r="A542" s="192" t="s">
        <v>42</v>
      </c>
      <c r="B542" s="187">
        <f t="shared" ref="B542:G542" si="225">B539+B541-B494</f>
        <v>960000</v>
      </c>
      <c r="C542" s="187">
        <f t="shared" si="225"/>
        <v>37651759</v>
      </c>
      <c r="D542" s="187">
        <f t="shared" si="225"/>
        <v>44845224</v>
      </c>
      <c r="E542" s="187">
        <f t="shared" si="225"/>
        <v>22654958</v>
      </c>
      <c r="F542" s="187">
        <f t="shared" si="225"/>
        <v>31279073</v>
      </c>
      <c r="G542" s="188">
        <f t="shared" si="225"/>
        <v>137391014</v>
      </c>
      <c r="H542" s="187"/>
      <c r="I542" s="187">
        <f t="shared" ref="I542:W542" si="226">I539+I541-I494</f>
        <v>7920000</v>
      </c>
      <c r="J542" s="187">
        <f t="shared" si="226"/>
        <v>2381400</v>
      </c>
      <c r="K542" s="187">
        <f t="shared" si="226"/>
        <v>19842000</v>
      </c>
      <c r="L542" s="187">
        <f t="shared" si="226"/>
        <v>19890000</v>
      </c>
      <c r="M542" s="187">
        <f t="shared" si="226"/>
        <v>19773000</v>
      </c>
      <c r="N542" s="187">
        <f t="shared" si="226"/>
        <v>3759600</v>
      </c>
      <c r="O542" s="187">
        <f t="shared" si="226"/>
        <v>13608000</v>
      </c>
      <c r="P542" s="187">
        <f t="shared" si="226"/>
        <v>28266000</v>
      </c>
      <c r="Q542" s="187">
        <f t="shared" si="226"/>
        <v>3644000</v>
      </c>
      <c r="R542" s="188">
        <f t="shared" si="226"/>
        <v>119084000</v>
      </c>
      <c r="S542" s="189">
        <f t="shared" si="226"/>
        <v>48747000</v>
      </c>
      <c r="T542" s="189"/>
      <c r="U542" s="189"/>
      <c r="V542" s="189"/>
      <c r="W542" s="189">
        <f t="shared" si="226"/>
        <v>305222014</v>
      </c>
      <c r="X542" s="190">
        <f>X539+W541</f>
        <v>5532916912</v>
      </c>
    </row>
    <row r="544" spans="1:24" x14ac:dyDescent="0.2">
      <c r="Q544" t="s">
        <v>116</v>
      </c>
    </row>
    <row r="545" spans="1:24" x14ac:dyDescent="0.2">
      <c r="Q545" t="s">
        <v>86</v>
      </c>
    </row>
    <row r="547" spans="1:24" ht="27" x14ac:dyDescent="0.35">
      <c r="A547" s="126" t="s">
        <v>117</v>
      </c>
      <c r="B547" s="121"/>
      <c r="C547" s="121"/>
      <c r="D547" s="122"/>
      <c r="E547" s="121"/>
      <c r="F547" s="121"/>
      <c r="G547" s="121"/>
      <c r="H547" s="121"/>
      <c r="I547" s="121"/>
      <c r="J547" s="121"/>
      <c r="K547" s="121"/>
      <c r="L547" s="123"/>
      <c r="M547" s="124"/>
      <c r="N547" s="121"/>
      <c r="O547" s="121"/>
      <c r="P547" s="121"/>
      <c r="Q547" s="121"/>
      <c r="R547" s="121"/>
      <c r="S547" s="121"/>
      <c r="T547" s="121"/>
      <c r="U547" s="121"/>
      <c r="V547" s="121"/>
      <c r="W547" s="125"/>
      <c r="X547" s="121"/>
    </row>
    <row r="548" spans="1:24" x14ac:dyDescent="0.2">
      <c r="A548" s="52"/>
      <c r="B548" s="52"/>
      <c r="C548" s="21"/>
      <c r="D548" s="115"/>
      <c r="E548" s="52"/>
      <c r="F548" s="115"/>
      <c r="G548" s="52"/>
      <c r="H548" s="115"/>
      <c r="I548" s="115"/>
      <c r="J548" s="115"/>
      <c r="K548" s="52"/>
      <c r="L548" s="115"/>
      <c r="M548" s="52"/>
      <c r="N548" s="52"/>
      <c r="O548" s="52"/>
      <c r="P548" s="52"/>
      <c r="Q548" s="52"/>
      <c r="R548" s="52"/>
      <c r="S548" s="52"/>
      <c r="T548" s="52"/>
      <c r="U548" s="52"/>
      <c r="V548" s="52"/>
      <c r="W548" s="91"/>
      <c r="X548" s="91"/>
    </row>
    <row r="549" spans="1:24" ht="27.75" thickBot="1" x14ac:dyDescent="0.4">
      <c r="A549" s="126" t="s">
        <v>107</v>
      </c>
      <c r="B549" s="121"/>
      <c r="C549" s="121"/>
      <c r="D549" s="121"/>
      <c r="E549" s="121"/>
      <c r="F549" s="122"/>
      <c r="G549" s="121"/>
      <c r="H549" s="121"/>
      <c r="I549" s="121"/>
      <c r="J549" s="121"/>
      <c r="K549" s="121"/>
      <c r="L549" s="121"/>
      <c r="M549" s="121"/>
      <c r="N549" s="121"/>
      <c r="O549" s="121"/>
      <c r="P549" s="121"/>
      <c r="Q549" s="121"/>
      <c r="R549" s="121"/>
      <c r="S549" s="121"/>
      <c r="T549" s="121"/>
      <c r="U549" s="121"/>
      <c r="V549" s="121"/>
      <c r="W549" s="125"/>
      <c r="X549" s="125"/>
    </row>
    <row r="550" spans="1:24" x14ac:dyDescent="0.2">
      <c r="A550" s="174"/>
      <c r="B550" s="173"/>
      <c r="C550" s="173"/>
      <c r="D550" s="173"/>
      <c r="E550" s="173"/>
      <c r="F550" s="173"/>
      <c r="G550" s="173"/>
      <c r="H550" s="173"/>
      <c r="I550" s="173"/>
      <c r="J550" s="173"/>
      <c r="K550" s="173"/>
      <c r="L550" s="173"/>
      <c r="M550" s="173"/>
      <c r="N550" s="173"/>
      <c r="O550" s="173"/>
      <c r="P550" s="173"/>
      <c r="Q550" s="173"/>
      <c r="R550" s="173"/>
      <c r="S550" s="173"/>
      <c r="T550" s="173"/>
      <c r="U550" s="173"/>
      <c r="V550" s="173"/>
      <c r="W550" s="173"/>
      <c r="X550" s="181"/>
    </row>
    <row r="551" spans="1:24" ht="13.5" thickBot="1" x14ac:dyDescent="0.25">
      <c r="A551" s="176"/>
      <c r="B551" s="179" t="s">
        <v>112</v>
      </c>
      <c r="C551" s="177"/>
      <c r="D551" s="177"/>
      <c r="E551" s="177"/>
      <c r="F551" s="177"/>
      <c r="G551" s="177"/>
      <c r="H551" s="177"/>
      <c r="I551" s="177"/>
      <c r="J551" s="177"/>
      <c r="K551" s="177"/>
      <c r="L551" s="179" t="s">
        <v>113</v>
      </c>
      <c r="M551" s="177"/>
      <c r="N551" s="177"/>
      <c r="O551" s="177"/>
      <c r="P551" s="177"/>
      <c r="Q551" s="177"/>
      <c r="R551" s="177"/>
      <c r="S551" s="177"/>
      <c r="T551" s="177"/>
      <c r="U551" s="177"/>
      <c r="V551" s="177"/>
      <c r="W551" s="177"/>
      <c r="X551" s="182"/>
    </row>
    <row r="552" spans="1:24" x14ac:dyDescent="0.2">
      <c r="A552" s="175"/>
      <c r="B552" s="155" t="s">
        <v>11</v>
      </c>
      <c r="C552" s="155" t="s">
        <v>12</v>
      </c>
      <c r="D552" s="155" t="s">
        <v>13</v>
      </c>
      <c r="E552" s="155" t="s">
        <v>14</v>
      </c>
      <c r="F552" s="155" t="s">
        <v>15</v>
      </c>
      <c r="G552" s="193" t="s">
        <v>16</v>
      </c>
      <c r="H552" s="21"/>
      <c r="I552" s="155" t="s">
        <v>17</v>
      </c>
      <c r="J552" s="21"/>
      <c r="K552" s="21"/>
      <c r="L552" s="21"/>
      <c r="M552" s="21"/>
      <c r="N552" s="155" t="s">
        <v>18</v>
      </c>
      <c r="O552" s="155" t="s">
        <v>19</v>
      </c>
      <c r="P552" s="155" t="s">
        <v>20</v>
      </c>
      <c r="Q552" s="155" t="s">
        <v>21</v>
      </c>
      <c r="R552" s="193" t="s">
        <v>16</v>
      </c>
      <c r="S552" s="193" t="s">
        <v>114</v>
      </c>
      <c r="T552" s="207"/>
      <c r="U552" s="207"/>
      <c r="V552" s="207"/>
      <c r="W552" s="155" t="s">
        <v>7</v>
      </c>
      <c r="X552" s="194" t="s">
        <v>70</v>
      </c>
    </row>
    <row r="553" spans="1:24" ht="13.5" thickBot="1" x14ac:dyDescent="0.25">
      <c r="A553" s="176"/>
      <c r="B553" s="179" t="s">
        <v>23</v>
      </c>
      <c r="C553" s="179" t="s">
        <v>24</v>
      </c>
      <c r="D553" s="179" t="s">
        <v>25</v>
      </c>
      <c r="E553" s="179" t="s">
        <v>26</v>
      </c>
      <c r="F553" s="179" t="s">
        <v>27</v>
      </c>
      <c r="G553" s="195" t="s">
        <v>28</v>
      </c>
      <c r="H553" s="179"/>
      <c r="I553" s="179" t="s">
        <v>29</v>
      </c>
      <c r="J553" s="179" t="s">
        <v>30</v>
      </c>
      <c r="K553" s="179" t="s">
        <v>31</v>
      </c>
      <c r="L553" s="179" t="s">
        <v>32</v>
      </c>
      <c r="M553" s="179" t="s">
        <v>33</v>
      </c>
      <c r="N553" s="179" t="s">
        <v>34</v>
      </c>
      <c r="O553" s="179" t="s">
        <v>35</v>
      </c>
      <c r="P553" s="179" t="s">
        <v>36</v>
      </c>
      <c r="Q553" s="179" t="s">
        <v>37</v>
      </c>
      <c r="R553" s="195" t="s">
        <v>28</v>
      </c>
      <c r="S553" s="195" t="s">
        <v>115</v>
      </c>
      <c r="T553" s="179"/>
      <c r="U553" s="179"/>
      <c r="V553" s="179"/>
      <c r="W553" s="179" t="s">
        <v>10</v>
      </c>
      <c r="X553" s="196" t="s">
        <v>71</v>
      </c>
    </row>
    <row r="554" spans="1:24" x14ac:dyDescent="0.2">
      <c r="A554" s="175"/>
      <c r="B554" s="117"/>
      <c r="C554" s="117"/>
      <c r="D554" s="117"/>
      <c r="E554" s="117"/>
      <c r="F554" s="117"/>
      <c r="G554" s="178"/>
      <c r="H554" s="52"/>
      <c r="I554" s="117"/>
      <c r="J554" s="117"/>
      <c r="K554" s="117"/>
      <c r="L554" s="117"/>
      <c r="M554" s="117"/>
      <c r="N554" s="117"/>
      <c r="O554" s="117"/>
      <c r="P554" s="117"/>
      <c r="Q554" s="117"/>
      <c r="R554" s="178"/>
      <c r="S554" s="184"/>
      <c r="T554" s="185"/>
      <c r="U554" s="185"/>
      <c r="V554" s="185"/>
      <c r="W554" s="185"/>
      <c r="X554" s="183"/>
    </row>
    <row r="555" spans="1:24" x14ac:dyDescent="0.2">
      <c r="A555" s="191" t="s">
        <v>41</v>
      </c>
      <c r="B555" s="91">
        <v>0</v>
      </c>
      <c r="C555" s="91">
        <v>2994000</v>
      </c>
      <c r="D555" s="91">
        <v>5388000</v>
      </c>
      <c r="E555" s="91">
        <v>5751000</v>
      </c>
      <c r="F555" s="91">
        <v>3186000</v>
      </c>
      <c r="G555" s="180">
        <f>SUM(B555:F555)</f>
        <v>17319000</v>
      </c>
      <c r="H555" s="91"/>
      <c r="I555" s="91">
        <v>1584000</v>
      </c>
      <c r="J555" s="91">
        <v>0</v>
      </c>
      <c r="K555" s="91">
        <v>1536000</v>
      </c>
      <c r="L555" s="91">
        <v>1461000</v>
      </c>
      <c r="M555" s="91">
        <v>3519000</v>
      </c>
      <c r="N555" s="91">
        <v>0</v>
      </c>
      <c r="O555" s="91">
        <v>1377000</v>
      </c>
      <c r="P555" s="91">
        <v>3288000</v>
      </c>
      <c r="Q555" s="91">
        <v>0</v>
      </c>
      <c r="R555" s="180">
        <f>SUM(I555:Q555)</f>
        <v>12765000</v>
      </c>
      <c r="S555" s="91">
        <v>2416000</v>
      </c>
      <c r="T555" s="91"/>
      <c r="U555" s="91"/>
      <c r="V555" s="91"/>
      <c r="W555" s="86">
        <f>R555+G555+S555</f>
        <v>32500000</v>
      </c>
      <c r="X555" s="46"/>
    </row>
    <row r="556" spans="1:24" x14ac:dyDescent="0.2">
      <c r="A556" s="191" t="s">
        <v>42</v>
      </c>
      <c r="B556" s="91">
        <f t="shared" ref="B556:G556" si="227">B542+B555-B508</f>
        <v>825600</v>
      </c>
      <c r="C556" s="91">
        <f t="shared" si="227"/>
        <v>37789759</v>
      </c>
      <c r="D556" s="91">
        <f t="shared" si="227"/>
        <v>47641224</v>
      </c>
      <c r="E556" s="91">
        <f t="shared" si="227"/>
        <v>28405958</v>
      </c>
      <c r="F556" s="91">
        <f t="shared" si="227"/>
        <v>32209073</v>
      </c>
      <c r="G556" s="180">
        <f t="shared" si="227"/>
        <v>146871614</v>
      </c>
      <c r="H556" s="91"/>
      <c r="I556" s="91">
        <f t="shared" ref="I556:W556" si="228">I542+I555-I508</f>
        <v>8748000</v>
      </c>
      <c r="J556" s="91">
        <f t="shared" si="228"/>
        <v>2381400</v>
      </c>
      <c r="K556" s="91">
        <f t="shared" si="228"/>
        <v>20010000</v>
      </c>
      <c r="L556" s="91">
        <f t="shared" si="228"/>
        <v>20031000</v>
      </c>
      <c r="M556" s="91">
        <f t="shared" si="228"/>
        <v>23292000</v>
      </c>
      <c r="N556" s="91">
        <f t="shared" si="228"/>
        <v>3759600</v>
      </c>
      <c r="O556" s="91">
        <f t="shared" si="228"/>
        <v>13776000</v>
      </c>
      <c r="P556" s="91">
        <f t="shared" si="228"/>
        <v>29112000</v>
      </c>
      <c r="Q556" s="91">
        <f t="shared" si="228"/>
        <v>3644000</v>
      </c>
      <c r="R556" s="180">
        <f t="shared" si="228"/>
        <v>124754000</v>
      </c>
      <c r="S556" s="186">
        <f t="shared" si="228"/>
        <v>51163000</v>
      </c>
      <c r="T556" s="186"/>
      <c r="U556" s="186"/>
      <c r="V556" s="186"/>
      <c r="W556" s="186">
        <f t="shared" si="228"/>
        <v>322788614</v>
      </c>
      <c r="X556" s="46">
        <f>X542+W555</f>
        <v>5565416912</v>
      </c>
    </row>
    <row r="557" spans="1:24" x14ac:dyDescent="0.2">
      <c r="A557" s="191"/>
      <c r="B557" s="52"/>
      <c r="C557" s="52"/>
      <c r="D557" s="52"/>
      <c r="E557" s="52"/>
      <c r="F557" s="52"/>
      <c r="G557" s="180"/>
      <c r="H557" s="91"/>
      <c r="I557" s="52"/>
      <c r="J557" s="52"/>
      <c r="K557" s="52"/>
      <c r="L557" s="52"/>
      <c r="M557" s="52"/>
      <c r="N557" s="52"/>
      <c r="O557" s="52"/>
      <c r="P557" s="52"/>
      <c r="Q557" s="52"/>
      <c r="R557" s="180"/>
      <c r="S557" s="184"/>
      <c r="T557" s="185"/>
      <c r="U557" s="185"/>
      <c r="V557" s="185"/>
      <c r="W557" s="186"/>
      <c r="X557" s="46"/>
    </row>
    <row r="558" spans="1:24" x14ac:dyDescent="0.2">
      <c r="A558" s="191" t="s">
        <v>43</v>
      </c>
      <c r="B558" s="91">
        <v>105600</v>
      </c>
      <c r="C558" s="91">
        <v>1662000</v>
      </c>
      <c r="D558" s="91">
        <v>3792000</v>
      </c>
      <c r="E558" s="91">
        <v>4851000</v>
      </c>
      <c r="F558" s="91">
        <v>2790000</v>
      </c>
      <c r="G558" s="180">
        <f>SUM(B558:F558)</f>
        <v>13200600</v>
      </c>
      <c r="H558" s="91"/>
      <c r="I558" s="91">
        <v>1644000</v>
      </c>
      <c r="J558" s="91">
        <v>0</v>
      </c>
      <c r="K558" s="91">
        <v>690000</v>
      </c>
      <c r="L558" s="91">
        <v>642000</v>
      </c>
      <c r="M558" s="91">
        <v>3690000</v>
      </c>
      <c r="N558" s="91">
        <v>0</v>
      </c>
      <c r="O558" s="91">
        <v>1119000</v>
      </c>
      <c r="P558" s="91">
        <v>3168000</v>
      </c>
      <c r="Q558" s="91">
        <v>0</v>
      </c>
      <c r="R558" s="180">
        <f>SUM(I558:Q558)</f>
        <v>10953000</v>
      </c>
      <c r="S558" s="199">
        <v>4999000</v>
      </c>
      <c r="T558" s="186"/>
      <c r="U558" s="186"/>
      <c r="V558" s="186"/>
      <c r="W558" s="86">
        <f>R558+G558+S558</f>
        <v>29152600</v>
      </c>
      <c r="X558" s="46"/>
    </row>
    <row r="559" spans="1:24" x14ac:dyDescent="0.2">
      <c r="A559" s="191" t="s">
        <v>42</v>
      </c>
      <c r="B559" s="91">
        <f t="shared" ref="B559:G559" si="229">B556+B558-B511</f>
        <v>931200</v>
      </c>
      <c r="C559" s="91">
        <f t="shared" si="229"/>
        <v>36235759</v>
      </c>
      <c r="D559" s="91">
        <f t="shared" si="229"/>
        <v>48541224</v>
      </c>
      <c r="E559" s="91">
        <f t="shared" si="229"/>
        <v>33256958</v>
      </c>
      <c r="F559" s="91">
        <f t="shared" si="229"/>
        <v>33319073</v>
      </c>
      <c r="G559" s="180">
        <f t="shared" si="229"/>
        <v>152284214</v>
      </c>
      <c r="H559" s="91"/>
      <c r="I559" s="91">
        <f t="shared" ref="I559:W559" si="230">I556+I558-I511</f>
        <v>10392000</v>
      </c>
      <c r="J559" s="91">
        <f t="shared" si="230"/>
        <v>2381400</v>
      </c>
      <c r="K559" s="91">
        <f t="shared" si="230"/>
        <v>19053000</v>
      </c>
      <c r="L559" s="91">
        <f t="shared" si="230"/>
        <v>19017000</v>
      </c>
      <c r="M559" s="91">
        <f t="shared" si="230"/>
        <v>26982000</v>
      </c>
      <c r="N559" s="91">
        <f t="shared" si="230"/>
        <v>3759600</v>
      </c>
      <c r="O559" s="91">
        <f t="shared" si="230"/>
        <v>13695000</v>
      </c>
      <c r="P559" s="91">
        <f t="shared" si="230"/>
        <v>32280000</v>
      </c>
      <c r="Q559" s="91">
        <f t="shared" si="230"/>
        <v>3644000</v>
      </c>
      <c r="R559" s="180">
        <f t="shared" si="230"/>
        <v>131204000</v>
      </c>
      <c r="S559" s="186">
        <f t="shared" si="230"/>
        <v>56162000</v>
      </c>
      <c r="T559" s="186"/>
      <c r="U559" s="186"/>
      <c r="V559" s="186"/>
      <c r="W559" s="186">
        <f t="shared" si="230"/>
        <v>339650214</v>
      </c>
      <c r="X559" s="46">
        <f>X556+W558</f>
        <v>5594569512</v>
      </c>
    </row>
    <row r="560" spans="1:24" x14ac:dyDescent="0.2">
      <c r="A560" s="191"/>
      <c r="B560" s="91"/>
      <c r="C560" s="91"/>
      <c r="D560" s="91"/>
      <c r="E560" s="91"/>
      <c r="F560" s="91"/>
      <c r="G560" s="180"/>
      <c r="H560" s="91"/>
      <c r="I560" s="91"/>
      <c r="J560" s="91"/>
      <c r="K560" s="91"/>
      <c r="L560" s="91"/>
      <c r="M560" s="91"/>
      <c r="N560" s="91"/>
      <c r="O560" s="91"/>
      <c r="P560" s="91"/>
      <c r="Q560" s="91"/>
      <c r="R560" s="180"/>
      <c r="S560" s="184"/>
      <c r="T560" s="185"/>
      <c r="U560" s="185"/>
      <c r="V560" s="185"/>
      <c r="W560" s="186"/>
      <c r="X560" s="46"/>
    </row>
    <row r="561" spans="1:24" x14ac:dyDescent="0.2">
      <c r="A561" s="191" t="s">
        <v>44</v>
      </c>
      <c r="B561" s="91">
        <v>177600</v>
      </c>
      <c r="C561" s="91">
        <v>1650000</v>
      </c>
      <c r="D561" s="91">
        <v>3048000</v>
      </c>
      <c r="E561" s="91">
        <v>5445000</v>
      </c>
      <c r="F561" s="91">
        <v>2730000</v>
      </c>
      <c r="G561" s="180">
        <f>SUM(B561:F561)</f>
        <v>13050600</v>
      </c>
      <c r="H561" s="91"/>
      <c r="I561" s="91">
        <v>2244000</v>
      </c>
      <c r="J561" s="91">
        <v>0</v>
      </c>
      <c r="K561" s="91">
        <v>654000</v>
      </c>
      <c r="L561" s="91">
        <v>672000</v>
      </c>
      <c r="M561" s="91">
        <v>4086000</v>
      </c>
      <c r="N561" s="91">
        <v>0</v>
      </c>
      <c r="O561" s="91">
        <v>1230000</v>
      </c>
      <c r="P561" s="91">
        <v>3342000</v>
      </c>
      <c r="Q561" s="91">
        <v>0</v>
      </c>
      <c r="R561" s="180">
        <f>SUM(I561:Q561)</f>
        <v>12228000</v>
      </c>
      <c r="S561" s="199">
        <v>9155000</v>
      </c>
      <c r="T561" s="186"/>
      <c r="U561" s="186"/>
      <c r="V561" s="186"/>
      <c r="W561" s="86">
        <f>R561+G561+S561</f>
        <v>34433600</v>
      </c>
      <c r="X561" s="46"/>
    </row>
    <row r="562" spans="1:24" x14ac:dyDescent="0.2">
      <c r="A562" s="191" t="s">
        <v>42</v>
      </c>
      <c r="B562" s="91">
        <f t="shared" ref="B562:G562" si="231">B559+B561-B514</f>
        <v>1108800</v>
      </c>
      <c r="C562" s="91">
        <f t="shared" si="231"/>
        <v>34651759</v>
      </c>
      <c r="D562" s="91">
        <f t="shared" si="231"/>
        <v>48793224</v>
      </c>
      <c r="E562" s="91">
        <f t="shared" si="231"/>
        <v>38701958</v>
      </c>
      <c r="F562" s="91">
        <f t="shared" si="231"/>
        <v>33595073</v>
      </c>
      <c r="G562" s="180">
        <f t="shared" si="231"/>
        <v>156850814</v>
      </c>
      <c r="H562" s="91"/>
      <c r="I562" s="91">
        <f t="shared" ref="I562:W562" si="232">I559+I561-I514</f>
        <v>12636000</v>
      </c>
      <c r="J562" s="91">
        <f t="shared" si="232"/>
        <v>2381400</v>
      </c>
      <c r="K562" s="91">
        <f t="shared" si="232"/>
        <v>17838000</v>
      </c>
      <c r="L562" s="91">
        <f t="shared" si="232"/>
        <v>17859000</v>
      </c>
      <c r="M562" s="91">
        <f t="shared" si="232"/>
        <v>29034000</v>
      </c>
      <c r="N562" s="91">
        <f t="shared" si="232"/>
        <v>3759600</v>
      </c>
      <c r="O562" s="91">
        <f t="shared" si="232"/>
        <v>13620000</v>
      </c>
      <c r="P562" s="91">
        <f t="shared" si="232"/>
        <v>35538000</v>
      </c>
      <c r="Q562" s="91">
        <f t="shared" si="232"/>
        <v>3644000</v>
      </c>
      <c r="R562" s="180">
        <f t="shared" si="232"/>
        <v>136310000</v>
      </c>
      <c r="S562" s="186">
        <f t="shared" si="232"/>
        <v>65317000</v>
      </c>
      <c r="T562" s="186"/>
      <c r="U562" s="186"/>
      <c r="V562" s="186"/>
      <c r="W562" s="186">
        <f t="shared" si="232"/>
        <v>358477814</v>
      </c>
      <c r="X562" s="46">
        <f>X559+W561</f>
        <v>5629003112</v>
      </c>
    </row>
    <row r="563" spans="1:24" x14ac:dyDescent="0.2">
      <c r="A563" s="191"/>
      <c r="B563" s="52"/>
      <c r="C563" s="52"/>
      <c r="D563" s="52"/>
      <c r="E563" s="52"/>
      <c r="F563" s="52"/>
      <c r="G563" s="180"/>
      <c r="H563" s="91"/>
      <c r="I563" s="52"/>
      <c r="J563" s="52"/>
      <c r="K563" s="52"/>
      <c r="L563" s="52"/>
      <c r="M563" s="52"/>
      <c r="N563" s="52"/>
      <c r="O563" s="52"/>
      <c r="P563" s="52"/>
      <c r="Q563" s="52"/>
      <c r="R563" s="180"/>
      <c r="S563" s="184"/>
      <c r="T563" s="185"/>
      <c r="U563" s="185"/>
      <c r="V563" s="185"/>
      <c r="W563" s="186"/>
      <c r="X563" s="46"/>
    </row>
    <row r="564" spans="1:24" x14ac:dyDescent="0.2">
      <c r="A564" s="191" t="s">
        <v>45</v>
      </c>
      <c r="B564" s="91">
        <v>480000</v>
      </c>
      <c r="C564" s="91">
        <v>2772000</v>
      </c>
      <c r="D564" s="91">
        <v>5784000</v>
      </c>
      <c r="E564" s="91">
        <v>4014000</v>
      </c>
      <c r="F564" s="91">
        <v>3156000</v>
      </c>
      <c r="G564" s="180">
        <f>SUM(B564:F564)</f>
        <v>16206000</v>
      </c>
      <c r="H564" s="91"/>
      <c r="I564" s="91">
        <v>4584000</v>
      </c>
      <c r="J564" s="91">
        <v>2448000</v>
      </c>
      <c r="K564" s="91">
        <v>1665000</v>
      </c>
      <c r="L564" s="91">
        <v>1725000</v>
      </c>
      <c r="M564" s="91">
        <v>3474000</v>
      </c>
      <c r="N564" s="91">
        <v>0</v>
      </c>
      <c r="O564" s="91">
        <v>606000</v>
      </c>
      <c r="P564" s="91">
        <v>2958000</v>
      </c>
      <c r="Q564" s="91">
        <v>0</v>
      </c>
      <c r="R564" s="180">
        <f>SUM(I564:Q564)</f>
        <v>17460000</v>
      </c>
      <c r="S564" s="199">
        <v>7625000</v>
      </c>
      <c r="T564" s="186"/>
      <c r="U564" s="186"/>
      <c r="V564" s="186"/>
      <c r="W564" s="86">
        <f>R564+G564+S564</f>
        <v>41291000</v>
      </c>
      <c r="X564" s="46"/>
    </row>
    <row r="565" spans="1:24" x14ac:dyDescent="0.2">
      <c r="A565" s="191" t="s">
        <v>42</v>
      </c>
      <c r="B565" s="91">
        <f t="shared" ref="B565:G565" si="233">B562+B564-B517</f>
        <v>1588800</v>
      </c>
      <c r="C565" s="91">
        <f t="shared" si="233"/>
        <v>34123759</v>
      </c>
      <c r="D565" s="91">
        <f t="shared" si="233"/>
        <v>50893224</v>
      </c>
      <c r="E565" s="91">
        <f t="shared" si="233"/>
        <v>40465958</v>
      </c>
      <c r="F565" s="91">
        <f t="shared" si="233"/>
        <v>34003073</v>
      </c>
      <c r="G565" s="180">
        <f t="shared" si="233"/>
        <v>161074814</v>
      </c>
      <c r="H565" s="91"/>
      <c r="I565" s="91">
        <f t="shared" ref="I565:W565" si="234">I562+I564-I517</f>
        <v>17220000</v>
      </c>
      <c r="J565" s="91">
        <f t="shared" si="234"/>
        <v>4829400</v>
      </c>
      <c r="K565" s="91">
        <f t="shared" si="234"/>
        <v>17778000</v>
      </c>
      <c r="L565" s="91">
        <f t="shared" si="234"/>
        <v>17865000</v>
      </c>
      <c r="M565" s="91">
        <f t="shared" si="234"/>
        <v>31014000</v>
      </c>
      <c r="N565" s="91">
        <f t="shared" si="234"/>
        <v>3759600</v>
      </c>
      <c r="O565" s="91">
        <f t="shared" si="234"/>
        <v>12783000</v>
      </c>
      <c r="P565" s="91">
        <f t="shared" si="234"/>
        <v>37572000</v>
      </c>
      <c r="Q565" s="91">
        <f t="shared" si="234"/>
        <v>3644000</v>
      </c>
      <c r="R565" s="180">
        <f t="shared" si="234"/>
        <v>146465000</v>
      </c>
      <c r="S565" s="186">
        <f t="shared" si="234"/>
        <v>68602000</v>
      </c>
      <c r="T565" s="186"/>
      <c r="U565" s="186"/>
      <c r="V565" s="186"/>
      <c r="W565" s="186">
        <f t="shared" si="234"/>
        <v>376141814</v>
      </c>
      <c r="X565" s="46">
        <f>X562+W564</f>
        <v>5670294112</v>
      </c>
    </row>
    <row r="566" spans="1:24" x14ac:dyDescent="0.2">
      <c r="A566" s="191"/>
      <c r="B566" s="52"/>
      <c r="C566" s="52"/>
      <c r="D566" s="52"/>
      <c r="E566" s="52"/>
      <c r="F566" s="52"/>
      <c r="G566" s="180"/>
      <c r="H566" s="91"/>
      <c r="I566" s="52"/>
      <c r="J566" s="52"/>
      <c r="K566" s="52"/>
      <c r="L566" s="52"/>
      <c r="M566" s="52"/>
      <c r="N566" s="52"/>
      <c r="O566" s="52"/>
      <c r="P566" s="52"/>
      <c r="Q566" s="52"/>
      <c r="R566" s="180"/>
      <c r="S566" s="186"/>
      <c r="T566" s="186"/>
      <c r="U566" s="186"/>
      <c r="V566" s="186"/>
      <c r="W566" s="186"/>
      <c r="X566" s="46"/>
    </row>
    <row r="567" spans="1:24" x14ac:dyDescent="0.2">
      <c r="A567" s="191" t="s">
        <v>46</v>
      </c>
      <c r="B567" s="91">
        <v>0</v>
      </c>
      <c r="C567" s="91">
        <v>2796000</v>
      </c>
      <c r="D567" s="91">
        <v>6156000</v>
      </c>
      <c r="E567" s="91">
        <v>4041000</v>
      </c>
      <c r="F567" s="91">
        <v>2592000</v>
      </c>
      <c r="G567" s="180">
        <f>SUM(B567:F567)</f>
        <v>15585000</v>
      </c>
      <c r="H567" s="91"/>
      <c r="I567" s="91">
        <v>4524000</v>
      </c>
      <c r="J567" s="91">
        <v>1458000</v>
      </c>
      <c r="K567" s="91">
        <v>975000</v>
      </c>
      <c r="L567" s="91">
        <v>1338000</v>
      </c>
      <c r="M567" s="91">
        <v>3420000</v>
      </c>
      <c r="N567" s="91">
        <v>496000</v>
      </c>
      <c r="O567" s="91">
        <v>123000</v>
      </c>
      <c r="P567" s="91">
        <v>3336000</v>
      </c>
      <c r="Q567" s="91">
        <v>0</v>
      </c>
      <c r="R567" s="180">
        <f>SUM(I567:Q567)</f>
        <v>15670000</v>
      </c>
      <c r="S567" s="199">
        <v>7983000</v>
      </c>
      <c r="T567" s="186"/>
      <c r="U567" s="186"/>
      <c r="V567" s="186"/>
      <c r="W567" s="86">
        <f>R567+G567+S567</f>
        <v>39238000</v>
      </c>
      <c r="X567" s="46"/>
    </row>
    <row r="568" spans="1:24" x14ac:dyDescent="0.2">
      <c r="A568" s="191" t="s">
        <v>42</v>
      </c>
      <c r="B568" s="91">
        <f t="shared" ref="B568:G568" si="235">B565+B567-B520</f>
        <v>1588800</v>
      </c>
      <c r="C568" s="91">
        <f t="shared" si="235"/>
        <v>33421759</v>
      </c>
      <c r="D568" s="91">
        <f t="shared" si="235"/>
        <v>54625224</v>
      </c>
      <c r="E568" s="91">
        <f t="shared" si="235"/>
        <v>43723958</v>
      </c>
      <c r="F568" s="91">
        <f t="shared" si="235"/>
        <v>33679073</v>
      </c>
      <c r="G568" s="180">
        <f t="shared" si="235"/>
        <v>167038814</v>
      </c>
      <c r="H568" s="91"/>
      <c r="I568" s="91">
        <f t="shared" ref="I568:W568" si="236">I565+I567-I520</f>
        <v>21744000</v>
      </c>
      <c r="J568" s="91">
        <f t="shared" si="236"/>
        <v>6287400</v>
      </c>
      <c r="K568" s="91">
        <f t="shared" si="236"/>
        <v>17115000</v>
      </c>
      <c r="L568" s="91">
        <f t="shared" si="236"/>
        <v>17643000</v>
      </c>
      <c r="M568" s="91">
        <f t="shared" si="236"/>
        <v>32940000</v>
      </c>
      <c r="N568" s="91">
        <f t="shared" si="236"/>
        <v>4061600</v>
      </c>
      <c r="O568" s="91">
        <f t="shared" si="236"/>
        <v>12183000</v>
      </c>
      <c r="P568" s="91">
        <f t="shared" si="236"/>
        <v>37632000</v>
      </c>
      <c r="Q568" s="91">
        <f t="shared" si="236"/>
        <v>3644000</v>
      </c>
      <c r="R568" s="180">
        <f t="shared" si="236"/>
        <v>153250000</v>
      </c>
      <c r="S568" s="186">
        <f t="shared" si="236"/>
        <v>72422000</v>
      </c>
      <c r="T568" s="186"/>
      <c r="U568" s="186"/>
      <c r="V568" s="186"/>
      <c r="W568" s="186">
        <f t="shared" si="236"/>
        <v>392710814</v>
      </c>
      <c r="X568" s="46">
        <f>X565+W567</f>
        <v>5709532112</v>
      </c>
    </row>
    <row r="569" spans="1:24" x14ac:dyDescent="0.2">
      <c r="A569" s="191"/>
      <c r="B569" s="52"/>
      <c r="C569" s="52"/>
      <c r="D569" s="52"/>
      <c r="E569" s="52"/>
      <c r="F569" s="52"/>
      <c r="G569" s="180"/>
      <c r="H569" s="91"/>
      <c r="I569" s="52"/>
      <c r="J569" s="52"/>
      <c r="K569" s="52"/>
      <c r="L569" s="52"/>
      <c r="M569" s="52"/>
      <c r="N569" s="52"/>
      <c r="O569" s="52"/>
      <c r="P569" s="52"/>
      <c r="Q569" s="52"/>
      <c r="R569" s="180"/>
      <c r="S569" s="186"/>
      <c r="T569" s="186"/>
      <c r="U569" s="186"/>
      <c r="V569" s="186"/>
      <c r="W569" s="186"/>
      <c r="X569" s="46"/>
    </row>
    <row r="570" spans="1:24" x14ac:dyDescent="0.2">
      <c r="A570" s="191" t="s">
        <v>47</v>
      </c>
      <c r="B570" s="91">
        <v>0</v>
      </c>
      <c r="C570" s="91">
        <v>3180000</v>
      </c>
      <c r="D570" s="91">
        <v>5664000</v>
      </c>
      <c r="E570" s="91">
        <v>3411000</v>
      </c>
      <c r="F570" s="91">
        <v>2652000</v>
      </c>
      <c r="G570" s="180">
        <f>SUM(B570:F570)</f>
        <v>14907000</v>
      </c>
      <c r="H570" s="91"/>
      <c r="I570" s="91">
        <v>5544000</v>
      </c>
      <c r="J570" s="91">
        <v>4203000</v>
      </c>
      <c r="K570" s="91">
        <v>1596000</v>
      </c>
      <c r="L570" s="91">
        <v>1563000</v>
      </c>
      <c r="M570" s="91">
        <v>2682000</v>
      </c>
      <c r="N570" s="91">
        <v>676000</v>
      </c>
      <c r="O570" s="91">
        <v>0</v>
      </c>
      <c r="P570" s="91">
        <v>3198000</v>
      </c>
      <c r="Q570" s="91">
        <v>924000</v>
      </c>
      <c r="R570" s="180">
        <f>SUM(I570:Q570)</f>
        <v>20386000</v>
      </c>
      <c r="S570" s="199">
        <v>7437000</v>
      </c>
      <c r="T570" s="186"/>
      <c r="U570" s="186"/>
      <c r="V570" s="186"/>
      <c r="W570" s="86">
        <f>R570+G570+S570</f>
        <v>42730000</v>
      </c>
      <c r="X570" s="46"/>
    </row>
    <row r="571" spans="1:24" x14ac:dyDescent="0.2">
      <c r="A571" s="191" t="s">
        <v>42</v>
      </c>
      <c r="B571" s="91">
        <f t="shared" ref="B571:G571" si="237">B568+B570-B523</f>
        <v>1588800</v>
      </c>
      <c r="C571" s="91">
        <f t="shared" si="237"/>
        <v>33349759</v>
      </c>
      <c r="D571" s="91">
        <f t="shared" si="237"/>
        <v>57625224</v>
      </c>
      <c r="E571" s="91">
        <f t="shared" si="237"/>
        <v>44848958</v>
      </c>
      <c r="F571" s="91">
        <f t="shared" si="237"/>
        <v>33487073</v>
      </c>
      <c r="G571" s="180">
        <f t="shared" si="237"/>
        <v>170899814</v>
      </c>
      <c r="H571" s="91"/>
      <c r="I571" s="91">
        <f t="shared" ref="I571:W571" si="238">I568+I570-I523</f>
        <v>27288000</v>
      </c>
      <c r="J571" s="91">
        <f t="shared" si="238"/>
        <v>10490400</v>
      </c>
      <c r="K571" s="91">
        <f t="shared" si="238"/>
        <v>16980000</v>
      </c>
      <c r="L571" s="91">
        <f t="shared" si="238"/>
        <v>17490000</v>
      </c>
      <c r="M571" s="91">
        <f t="shared" si="238"/>
        <v>33723000</v>
      </c>
      <c r="N571" s="91">
        <f t="shared" si="238"/>
        <v>4347600</v>
      </c>
      <c r="O571" s="91">
        <f t="shared" si="238"/>
        <v>11721000</v>
      </c>
      <c r="P571" s="91">
        <f t="shared" si="238"/>
        <v>37548000</v>
      </c>
      <c r="Q571" s="91">
        <f t="shared" si="238"/>
        <v>4568000</v>
      </c>
      <c r="R571" s="180">
        <f t="shared" si="238"/>
        <v>164156000</v>
      </c>
      <c r="S571" s="186">
        <f t="shared" si="238"/>
        <v>75349000</v>
      </c>
      <c r="T571" s="186"/>
      <c r="U571" s="186"/>
      <c r="V571" s="186"/>
      <c r="W571" s="186">
        <f t="shared" si="238"/>
        <v>410404814</v>
      </c>
      <c r="X571" s="46">
        <f>X568+W570</f>
        <v>5752262112</v>
      </c>
    </row>
    <row r="572" spans="1:24" x14ac:dyDescent="0.2">
      <c r="A572" s="191"/>
      <c r="B572" s="52"/>
      <c r="C572" s="52"/>
      <c r="D572" s="52"/>
      <c r="E572" s="52"/>
      <c r="F572" s="52"/>
      <c r="G572" s="180"/>
      <c r="H572" s="91"/>
      <c r="I572" s="52"/>
      <c r="J572" s="52"/>
      <c r="K572" s="52"/>
      <c r="L572" s="52"/>
      <c r="M572" s="52"/>
      <c r="N572" s="52"/>
      <c r="O572" s="52"/>
      <c r="P572" s="52"/>
      <c r="Q572" s="52"/>
      <c r="R572" s="180"/>
      <c r="S572" s="186" t="s">
        <v>105</v>
      </c>
      <c r="T572" s="186"/>
      <c r="U572" s="186"/>
      <c r="V572" s="186"/>
      <c r="W572" s="186"/>
      <c r="X572" s="46"/>
    </row>
    <row r="573" spans="1:24" x14ac:dyDescent="0.2">
      <c r="A573" s="191" t="s">
        <v>48</v>
      </c>
      <c r="B573" s="91">
        <v>0</v>
      </c>
      <c r="C573" s="91">
        <v>3258000</v>
      </c>
      <c r="D573" s="91">
        <v>6132000</v>
      </c>
      <c r="E573" s="91">
        <v>3663000</v>
      </c>
      <c r="F573" s="91">
        <v>3180000</v>
      </c>
      <c r="G573" s="180">
        <f>SUM(B573:F573)</f>
        <v>16233000</v>
      </c>
      <c r="H573" s="91"/>
      <c r="I573" s="91">
        <v>5880000</v>
      </c>
      <c r="J573" s="91">
        <v>4482000</v>
      </c>
      <c r="K573" s="91">
        <v>1446000</v>
      </c>
      <c r="L573" s="91">
        <v>1590000</v>
      </c>
      <c r="M573" s="91">
        <v>3438000</v>
      </c>
      <c r="N573" s="91">
        <v>696000</v>
      </c>
      <c r="O573" s="91">
        <v>0</v>
      </c>
      <c r="P573" s="91">
        <v>3252000</v>
      </c>
      <c r="Q573" s="91">
        <v>2388000</v>
      </c>
      <c r="R573" s="180">
        <f>SUM(I573:Q573)</f>
        <v>23172000</v>
      </c>
      <c r="S573" s="199">
        <v>6172000</v>
      </c>
      <c r="T573" s="186"/>
      <c r="U573" s="186"/>
      <c r="V573" s="186"/>
      <c r="W573" s="86">
        <f>R573+G573+S573</f>
        <v>45577000</v>
      </c>
      <c r="X573" s="46"/>
    </row>
    <row r="574" spans="1:24" x14ac:dyDescent="0.2">
      <c r="A574" s="191" t="s">
        <v>42</v>
      </c>
      <c r="B574" s="91">
        <f t="shared" ref="B574:G574" si="239">B571+B573-B526</f>
        <v>1588800</v>
      </c>
      <c r="C574" s="91">
        <f t="shared" si="239"/>
        <v>33271759</v>
      </c>
      <c r="D574" s="91">
        <f t="shared" si="239"/>
        <v>59893224</v>
      </c>
      <c r="E574" s="91">
        <f t="shared" si="239"/>
        <v>44938958</v>
      </c>
      <c r="F574" s="91">
        <f t="shared" si="239"/>
        <v>33643073</v>
      </c>
      <c r="G574" s="180">
        <f t="shared" si="239"/>
        <v>173335814</v>
      </c>
      <c r="H574" s="91"/>
      <c r="I574" s="91">
        <f t="shared" ref="I574:W574" si="240">I571+I573-I526</f>
        <v>33168000</v>
      </c>
      <c r="J574" s="91">
        <f t="shared" si="240"/>
        <v>14972400</v>
      </c>
      <c r="K574" s="91">
        <f t="shared" si="240"/>
        <v>16866000</v>
      </c>
      <c r="L574" s="91">
        <f t="shared" si="240"/>
        <v>17454000</v>
      </c>
      <c r="M574" s="91">
        <f t="shared" si="240"/>
        <v>35037000</v>
      </c>
      <c r="N574" s="91">
        <f t="shared" si="240"/>
        <v>4433600</v>
      </c>
      <c r="O574" s="91">
        <f t="shared" si="240"/>
        <v>10602000</v>
      </c>
      <c r="P574" s="91">
        <f t="shared" si="240"/>
        <v>37350000</v>
      </c>
      <c r="Q574" s="91">
        <f t="shared" si="240"/>
        <v>6016000</v>
      </c>
      <c r="R574" s="180">
        <f t="shared" si="240"/>
        <v>175899000</v>
      </c>
      <c r="S574" s="186">
        <f t="shared" si="240"/>
        <v>74804000</v>
      </c>
      <c r="T574" s="186"/>
      <c r="U574" s="186"/>
      <c r="V574" s="186"/>
      <c r="W574" s="186">
        <f t="shared" si="240"/>
        <v>424038814</v>
      </c>
      <c r="X574" s="46">
        <f>X571+W573</f>
        <v>5797839112</v>
      </c>
    </row>
    <row r="575" spans="1:24" x14ac:dyDescent="0.2">
      <c r="A575" s="191"/>
      <c r="B575" s="52"/>
      <c r="C575" s="52"/>
      <c r="D575" s="52"/>
      <c r="E575" s="52"/>
      <c r="F575" s="52"/>
      <c r="G575" s="180"/>
      <c r="H575" s="91"/>
      <c r="I575" s="52"/>
      <c r="J575" s="52"/>
      <c r="K575" s="52"/>
      <c r="L575" s="52"/>
      <c r="M575" s="52"/>
      <c r="N575" s="52"/>
      <c r="O575" s="52"/>
      <c r="P575" s="52"/>
      <c r="Q575" s="52"/>
      <c r="R575" s="180"/>
      <c r="S575" s="186"/>
      <c r="T575" s="186"/>
      <c r="U575" s="186"/>
      <c r="V575" s="186"/>
      <c r="W575" s="186"/>
      <c r="X575" s="46"/>
    </row>
    <row r="576" spans="1:24" x14ac:dyDescent="0.2">
      <c r="A576" s="191" t="s">
        <v>49</v>
      </c>
      <c r="B576" s="91">
        <v>0</v>
      </c>
      <c r="C576" s="91">
        <v>2706451</v>
      </c>
      <c r="D576" s="91">
        <v>5641013</v>
      </c>
      <c r="E576" s="91">
        <v>3533291</v>
      </c>
      <c r="F576" s="91">
        <v>2310901</v>
      </c>
      <c r="G576" s="180">
        <f>SUM(B576:F576)</f>
        <v>14191656</v>
      </c>
      <c r="H576" s="91"/>
      <c r="I576" s="91">
        <v>5880000</v>
      </c>
      <c r="J576" s="91">
        <v>4437000</v>
      </c>
      <c r="K576" s="91">
        <v>1107000</v>
      </c>
      <c r="L576" s="91">
        <v>1362000</v>
      </c>
      <c r="M576" s="91">
        <v>3345151</v>
      </c>
      <c r="N576" s="91">
        <v>766000</v>
      </c>
      <c r="O576" s="91">
        <v>855000</v>
      </c>
      <c r="P576" s="91">
        <v>3192000</v>
      </c>
      <c r="Q576" s="91">
        <v>2360800</v>
      </c>
      <c r="R576" s="180">
        <f>SUM(I576:Q576)</f>
        <v>23304951</v>
      </c>
      <c r="S576" s="199">
        <v>8572000</v>
      </c>
      <c r="T576" s="186"/>
      <c r="U576" s="186"/>
      <c r="V576" s="186"/>
      <c r="W576" s="86">
        <f>R576+G576+S576</f>
        <v>46068607</v>
      </c>
      <c r="X576" s="46"/>
    </row>
    <row r="577" spans="1:24" x14ac:dyDescent="0.2">
      <c r="A577" s="191" t="s">
        <v>42</v>
      </c>
      <c r="B577" s="91">
        <f t="shared" ref="B577:G577" si="241">B574+B576-B529</f>
        <v>1588800</v>
      </c>
      <c r="C577" s="91">
        <f t="shared" si="241"/>
        <v>32870210</v>
      </c>
      <c r="D577" s="91">
        <f t="shared" si="241"/>
        <v>61166237</v>
      </c>
      <c r="E577" s="91">
        <f t="shared" si="241"/>
        <v>44845249</v>
      </c>
      <c r="F577" s="91">
        <f t="shared" si="241"/>
        <v>33217974</v>
      </c>
      <c r="G577" s="180">
        <f t="shared" si="241"/>
        <v>173688470</v>
      </c>
      <c r="H577" s="91"/>
      <c r="I577" s="91">
        <f t="shared" ref="I577:W577" si="242">I574+I576-I529</f>
        <v>39048000</v>
      </c>
      <c r="J577" s="91">
        <f t="shared" si="242"/>
        <v>19409400</v>
      </c>
      <c r="K577" s="91">
        <f t="shared" si="242"/>
        <v>16440000</v>
      </c>
      <c r="L577" s="91">
        <f t="shared" si="242"/>
        <v>17175000</v>
      </c>
      <c r="M577" s="91">
        <f t="shared" si="242"/>
        <v>36456151</v>
      </c>
      <c r="N577" s="91">
        <f t="shared" si="242"/>
        <v>4623600</v>
      </c>
      <c r="O577" s="91">
        <f t="shared" si="242"/>
        <v>10329000</v>
      </c>
      <c r="P577" s="91">
        <f t="shared" si="242"/>
        <v>37224000</v>
      </c>
      <c r="Q577" s="91">
        <f t="shared" si="242"/>
        <v>7236800</v>
      </c>
      <c r="R577" s="180">
        <f t="shared" si="242"/>
        <v>187941951</v>
      </c>
      <c r="S577" s="186">
        <f t="shared" si="242"/>
        <v>76555000</v>
      </c>
      <c r="T577" s="186"/>
      <c r="U577" s="186"/>
      <c r="V577" s="186"/>
      <c r="W577" s="186">
        <f t="shared" si="242"/>
        <v>438185421</v>
      </c>
      <c r="X577" s="46">
        <f>X574+W576</f>
        <v>5843907719</v>
      </c>
    </row>
    <row r="578" spans="1:24" x14ac:dyDescent="0.2">
      <c r="A578" s="191"/>
      <c r="B578" s="52"/>
      <c r="C578" s="52"/>
      <c r="D578" s="52"/>
      <c r="E578" s="52"/>
      <c r="F578" s="52"/>
      <c r="G578" s="180"/>
      <c r="H578" s="91"/>
      <c r="I578" s="52"/>
      <c r="J578" s="52"/>
      <c r="K578" s="52"/>
      <c r="L578" s="52"/>
      <c r="M578" s="52"/>
      <c r="N578" s="52"/>
      <c r="O578" s="52"/>
      <c r="P578" s="52"/>
      <c r="Q578" s="52"/>
      <c r="R578" s="180"/>
      <c r="S578" s="186"/>
      <c r="T578" s="186"/>
      <c r="U578" s="186"/>
      <c r="V578" s="186"/>
      <c r="W578" s="186"/>
      <c r="X578" s="46"/>
    </row>
    <row r="579" spans="1:24" x14ac:dyDescent="0.2">
      <c r="A579" s="191" t="s">
        <v>50</v>
      </c>
      <c r="B579" s="91">
        <v>19200</v>
      </c>
      <c r="C579" s="91">
        <v>2238000</v>
      </c>
      <c r="D579" s="91">
        <v>4812000</v>
      </c>
      <c r="E579" s="91">
        <v>1476000</v>
      </c>
      <c r="F579" s="91">
        <v>2784000</v>
      </c>
      <c r="G579" s="180">
        <f>SUM(B579:F579)</f>
        <v>11329200</v>
      </c>
      <c r="H579" s="91"/>
      <c r="I579" s="91">
        <v>5268000</v>
      </c>
      <c r="J579" s="91">
        <v>4068000</v>
      </c>
      <c r="K579" s="91">
        <v>1347000</v>
      </c>
      <c r="L579" s="91">
        <v>1479000</v>
      </c>
      <c r="M579" s="91">
        <v>3429000</v>
      </c>
      <c r="N579" s="91">
        <v>706000</v>
      </c>
      <c r="O579" s="91">
        <v>528000</v>
      </c>
      <c r="P579" s="91">
        <v>3126000</v>
      </c>
      <c r="Q579" s="91">
        <v>2176000</v>
      </c>
      <c r="R579" s="180">
        <f>SUM(I579:Q579)</f>
        <v>22127000</v>
      </c>
      <c r="S579" s="199">
        <v>8193000</v>
      </c>
      <c r="T579" s="186"/>
      <c r="U579" s="186"/>
      <c r="V579" s="186"/>
      <c r="W579" s="86">
        <f>R579+G579+S579</f>
        <v>41649200</v>
      </c>
      <c r="X579" s="46"/>
    </row>
    <row r="580" spans="1:24" x14ac:dyDescent="0.2">
      <c r="A580" s="191" t="s">
        <v>42</v>
      </c>
      <c r="B580" s="91">
        <f t="shared" ref="B580:G580" si="243">B577+B579-B532</f>
        <v>1608000</v>
      </c>
      <c r="C580" s="91">
        <f t="shared" si="243"/>
        <v>32078210</v>
      </c>
      <c r="D580" s="91">
        <f t="shared" si="243"/>
        <v>61874237</v>
      </c>
      <c r="E580" s="91">
        <f t="shared" si="243"/>
        <v>43324249</v>
      </c>
      <c r="F580" s="91">
        <f t="shared" si="243"/>
        <v>33067974</v>
      </c>
      <c r="G580" s="180">
        <f t="shared" si="243"/>
        <v>171952670</v>
      </c>
      <c r="H580" s="91"/>
      <c r="I580" s="91">
        <f t="shared" ref="I580:W580" si="244">I577+I579-I532</f>
        <v>44316000</v>
      </c>
      <c r="J580" s="91">
        <f t="shared" si="244"/>
        <v>23477400</v>
      </c>
      <c r="K580" s="91">
        <f t="shared" si="244"/>
        <v>16167000</v>
      </c>
      <c r="L580" s="91">
        <f t="shared" si="244"/>
        <v>16959000</v>
      </c>
      <c r="M580" s="91">
        <f t="shared" si="244"/>
        <v>37491151</v>
      </c>
      <c r="N580" s="91">
        <f t="shared" si="244"/>
        <v>4817600</v>
      </c>
      <c r="O580" s="91">
        <f t="shared" si="244"/>
        <v>9885000</v>
      </c>
      <c r="P580" s="91">
        <f t="shared" si="244"/>
        <v>37236000</v>
      </c>
      <c r="Q580" s="91">
        <f t="shared" si="244"/>
        <v>8308800</v>
      </c>
      <c r="R580" s="180">
        <f t="shared" si="244"/>
        <v>198657951</v>
      </c>
      <c r="S580" s="186">
        <f t="shared" si="244"/>
        <v>79180000</v>
      </c>
      <c r="T580" s="186"/>
      <c r="U580" s="186"/>
      <c r="V580" s="186"/>
      <c r="W580" s="186">
        <f t="shared" si="244"/>
        <v>449790621</v>
      </c>
      <c r="X580" s="46">
        <f>X577+W579</f>
        <v>5885556919</v>
      </c>
    </row>
    <row r="581" spans="1:24" x14ac:dyDescent="0.2">
      <c r="A581" s="191"/>
      <c r="B581" s="52"/>
      <c r="C581" s="52"/>
      <c r="D581" s="52"/>
      <c r="E581" s="52"/>
      <c r="F581" s="52"/>
      <c r="G581" s="180"/>
      <c r="H581" s="91"/>
      <c r="I581" s="52"/>
      <c r="J581" s="52"/>
      <c r="K581" s="52"/>
      <c r="L581" s="52"/>
      <c r="M581" s="52"/>
      <c r="N581" s="52"/>
      <c r="O581" s="52"/>
      <c r="P581" s="52"/>
      <c r="Q581" s="52"/>
      <c r="R581" s="180"/>
      <c r="S581" s="186"/>
      <c r="T581" s="186"/>
      <c r="U581" s="186"/>
      <c r="V581" s="186"/>
      <c r="W581" s="186"/>
      <c r="X581" s="46"/>
    </row>
    <row r="582" spans="1:24" x14ac:dyDescent="0.2">
      <c r="A582" s="191" t="s">
        <v>51</v>
      </c>
      <c r="B582" s="91">
        <v>24000</v>
      </c>
      <c r="C582" s="91">
        <v>2388000</v>
      </c>
      <c r="D582" s="91">
        <v>3288000</v>
      </c>
      <c r="E582" s="91">
        <v>3168000</v>
      </c>
      <c r="F582" s="91">
        <v>3186000</v>
      </c>
      <c r="G582" s="180">
        <f>SUM(B582:F582)</f>
        <v>12054000</v>
      </c>
      <c r="H582" s="91"/>
      <c r="I582" s="91">
        <v>4836000</v>
      </c>
      <c r="J582" s="91">
        <v>4032000</v>
      </c>
      <c r="K582" s="91">
        <v>1743000</v>
      </c>
      <c r="L582" s="91">
        <v>1731000</v>
      </c>
      <c r="M582" s="91">
        <v>3861000</v>
      </c>
      <c r="N582" s="91">
        <v>262000</v>
      </c>
      <c r="O582" s="91">
        <v>0</v>
      </c>
      <c r="P582" s="91">
        <v>3210000</v>
      </c>
      <c r="Q582" s="91">
        <v>2236000</v>
      </c>
      <c r="R582" s="180">
        <f>SUM(I582:Q582)</f>
        <v>21911000</v>
      </c>
      <c r="S582" s="199">
        <v>6946000</v>
      </c>
      <c r="T582" s="186"/>
      <c r="U582" s="186"/>
      <c r="V582" s="186"/>
      <c r="W582" s="86">
        <f>R582+G582+S582</f>
        <v>40911000</v>
      </c>
      <c r="X582" s="46"/>
    </row>
    <row r="583" spans="1:24" x14ac:dyDescent="0.2">
      <c r="A583" s="191" t="s">
        <v>42</v>
      </c>
      <c r="B583" s="91">
        <f t="shared" ref="B583:G583" si="245">B580+B582-B535</f>
        <v>1228800</v>
      </c>
      <c r="C583" s="91">
        <f t="shared" si="245"/>
        <v>31584451</v>
      </c>
      <c r="D583" s="91">
        <f t="shared" si="245"/>
        <v>59893013</v>
      </c>
      <c r="E583" s="91">
        <f t="shared" si="245"/>
        <v>43754291</v>
      </c>
      <c r="F583" s="91">
        <f t="shared" si="245"/>
        <v>34332901</v>
      </c>
      <c r="G583" s="180">
        <f t="shared" si="245"/>
        <v>170793456</v>
      </c>
      <c r="H583" s="91"/>
      <c r="I583" s="91">
        <f t="shared" ref="I583:W583" si="246">I580+I582-I535</f>
        <v>46392000</v>
      </c>
      <c r="J583" s="91">
        <f t="shared" si="246"/>
        <v>25947000</v>
      </c>
      <c r="K583" s="91">
        <f t="shared" si="246"/>
        <v>16356000</v>
      </c>
      <c r="L583" s="91">
        <f t="shared" si="246"/>
        <v>17142000</v>
      </c>
      <c r="M583" s="91">
        <f t="shared" si="246"/>
        <v>37878151</v>
      </c>
      <c r="N583" s="91">
        <f t="shared" si="246"/>
        <v>4420000</v>
      </c>
      <c r="O583" s="91">
        <f t="shared" si="246"/>
        <v>8727000</v>
      </c>
      <c r="P583" s="91">
        <f t="shared" si="246"/>
        <v>38262000</v>
      </c>
      <c r="Q583" s="91">
        <f t="shared" si="246"/>
        <v>10084800</v>
      </c>
      <c r="R583" s="180">
        <f t="shared" si="246"/>
        <v>205208951</v>
      </c>
      <c r="S583" s="186">
        <f t="shared" si="246"/>
        <v>80524000</v>
      </c>
      <c r="T583" s="186"/>
      <c r="U583" s="186"/>
      <c r="V583" s="186"/>
      <c r="W583" s="186">
        <f t="shared" si="246"/>
        <v>456526407</v>
      </c>
      <c r="X583" s="46">
        <f>X580+W582</f>
        <v>5926467919</v>
      </c>
    </row>
    <row r="584" spans="1:24" x14ac:dyDescent="0.2">
      <c r="A584" s="191"/>
      <c r="B584" s="52"/>
      <c r="C584" s="52"/>
      <c r="D584" s="52"/>
      <c r="E584" s="52"/>
      <c r="F584" s="52"/>
      <c r="G584" s="180"/>
      <c r="H584" s="91"/>
      <c r="I584" s="52"/>
      <c r="J584" s="52"/>
      <c r="K584" s="52"/>
      <c r="L584" s="52"/>
      <c r="M584" s="52"/>
      <c r="N584" s="52"/>
      <c r="O584" s="52"/>
      <c r="P584" s="52"/>
      <c r="Q584" s="52"/>
      <c r="R584" s="180"/>
      <c r="S584" s="186"/>
      <c r="T584" s="186"/>
      <c r="U584" s="186"/>
      <c r="V584" s="186"/>
      <c r="W584" s="186"/>
      <c r="X584" s="46"/>
    </row>
    <row r="585" spans="1:24" x14ac:dyDescent="0.2">
      <c r="A585" s="191" t="s">
        <v>52</v>
      </c>
      <c r="B585" s="91">
        <v>0</v>
      </c>
      <c r="C585" s="91">
        <v>1866000</v>
      </c>
      <c r="D585" s="91">
        <v>4380000</v>
      </c>
      <c r="E585" s="91">
        <v>5922000</v>
      </c>
      <c r="F585" s="91">
        <v>2922000</v>
      </c>
      <c r="G585" s="180">
        <f>SUM(B585:F585)</f>
        <v>15090000</v>
      </c>
      <c r="H585" s="91"/>
      <c r="I585" s="91">
        <v>5088000</v>
      </c>
      <c r="J585" s="91">
        <v>3987000</v>
      </c>
      <c r="K585" s="91">
        <v>1110000</v>
      </c>
      <c r="L585" s="91">
        <v>621000</v>
      </c>
      <c r="M585" s="91">
        <v>3861000</v>
      </c>
      <c r="N585" s="91">
        <v>0</v>
      </c>
      <c r="O585" s="91">
        <v>0</v>
      </c>
      <c r="P585" s="91">
        <v>2592000</v>
      </c>
      <c r="Q585" s="91">
        <v>620000</v>
      </c>
      <c r="R585" s="180">
        <f>SUM(I585:Q585)</f>
        <v>17879000</v>
      </c>
      <c r="S585" s="199">
        <v>7758000</v>
      </c>
      <c r="T585" s="186"/>
      <c r="U585" s="186"/>
      <c r="V585" s="186"/>
      <c r="W585" s="86">
        <f>R585+G585+S585</f>
        <v>40727000</v>
      </c>
      <c r="X585" s="46"/>
    </row>
    <row r="586" spans="1:24" x14ac:dyDescent="0.2">
      <c r="A586" s="191" t="s">
        <v>42</v>
      </c>
      <c r="B586" s="91">
        <f t="shared" ref="B586:G586" si="247">B583+B585-B538</f>
        <v>912000</v>
      </c>
      <c r="C586" s="91">
        <f t="shared" si="247"/>
        <v>30618451</v>
      </c>
      <c r="D586" s="91">
        <f t="shared" si="247"/>
        <v>59125013</v>
      </c>
      <c r="E586" s="91">
        <f t="shared" si="247"/>
        <v>48551291</v>
      </c>
      <c r="F586" s="91">
        <f t="shared" si="247"/>
        <v>34434901</v>
      </c>
      <c r="G586" s="180">
        <f t="shared" si="247"/>
        <v>173641656</v>
      </c>
      <c r="H586" s="91"/>
      <c r="I586" s="91">
        <f t="shared" ref="I586:W586" si="248">I583+I585-I538</f>
        <v>49536000</v>
      </c>
      <c r="J586" s="91">
        <f t="shared" si="248"/>
        <v>29115000</v>
      </c>
      <c r="K586" s="91">
        <f t="shared" si="248"/>
        <v>15723000</v>
      </c>
      <c r="L586" s="91">
        <f t="shared" si="248"/>
        <v>16029000</v>
      </c>
      <c r="M586" s="91">
        <f t="shared" si="248"/>
        <v>40794151</v>
      </c>
      <c r="N586" s="91">
        <f t="shared" si="248"/>
        <v>3908000</v>
      </c>
      <c r="O586" s="91">
        <f t="shared" si="248"/>
        <v>7392000</v>
      </c>
      <c r="P586" s="91">
        <f t="shared" si="248"/>
        <v>37854000</v>
      </c>
      <c r="Q586" s="91">
        <f t="shared" si="248"/>
        <v>10704800</v>
      </c>
      <c r="R586" s="180">
        <f t="shared" si="248"/>
        <v>211055951</v>
      </c>
      <c r="S586" s="186">
        <f t="shared" si="248"/>
        <v>83051000</v>
      </c>
      <c r="T586" s="186"/>
      <c r="U586" s="186"/>
      <c r="V586" s="186"/>
      <c r="W586" s="186">
        <f t="shared" si="248"/>
        <v>467748607</v>
      </c>
      <c r="X586" s="46">
        <f>X583+W585</f>
        <v>5967194919</v>
      </c>
    </row>
    <row r="587" spans="1:24" x14ac:dyDescent="0.2">
      <c r="A587" s="191"/>
      <c r="B587" s="52"/>
      <c r="C587" s="52"/>
      <c r="D587" s="52"/>
      <c r="E587" s="52"/>
      <c r="F587" s="52"/>
      <c r="G587" s="180"/>
      <c r="H587" s="91"/>
      <c r="I587" s="52"/>
      <c r="J587" s="52"/>
      <c r="K587" s="52"/>
      <c r="L587" s="52"/>
      <c r="M587" s="52"/>
      <c r="N587" s="52"/>
      <c r="O587" s="52"/>
      <c r="P587" s="52"/>
      <c r="Q587" s="52"/>
      <c r="R587" s="180"/>
      <c r="S587" s="186"/>
      <c r="T587" s="186"/>
      <c r="U587" s="186"/>
      <c r="V587" s="186"/>
      <c r="W587" s="186"/>
      <c r="X587" s="46"/>
    </row>
    <row r="588" spans="1:24" x14ac:dyDescent="0.2">
      <c r="A588" s="191" t="s">
        <v>53</v>
      </c>
      <c r="B588" s="91">
        <v>0</v>
      </c>
      <c r="C588" s="91">
        <v>1674000</v>
      </c>
      <c r="D588" s="91">
        <v>5280000</v>
      </c>
      <c r="E588" s="91">
        <v>6165000</v>
      </c>
      <c r="F588" s="91">
        <v>3042000</v>
      </c>
      <c r="G588" s="180">
        <f>SUM(B588:F588)</f>
        <v>16161000</v>
      </c>
      <c r="H588" s="91"/>
      <c r="I588" s="91">
        <v>4932000</v>
      </c>
      <c r="J588" s="91">
        <v>3789000</v>
      </c>
      <c r="K588" s="91">
        <v>1182000</v>
      </c>
      <c r="L588" s="91">
        <v>1068000</v>
      </c>
      <c r="M588" s="91">
        <v>3996000</v>
      </c>
      <c r="N588" s="91">
        <v>0</v>
      </c>
      <c r="O588" s="91">
        <v>0</v>
      </c>
      <c r="P588" s="91">
        <v>1206000</v>
      </c>
      <c r="Q588" s="91">
        <v>592000</v>
      </c>
      <c r="R588" s="180">
        <f>SUM(I588:Q588)</f>
        <v>16765000</v>
      </c>
      <c r="S588" s="199">
        <v>7109000</v>
      </c>
      <c r="T588" s="186"/>
      <c r="U588" s="186"/>
      <c r="V588" s="186"/>
      <c r="W588" s="86">
        <f>R588+G588+S588</f>
        <v>40035000</v>
      </c>
      <c r="X588" s="46"/>
    </row>
    <row r="589" spans="1:24" ht="13.5" thickBot="1" x14ac:dyDescent="0.25">
      <c r="A589" s="192" t="s">
        <v>42</v>
      </c>
      <c r="B589" s="187">
        <f t="shared" ref="B589:G589" si="249">B586+B588-B541</f>
        <v>806400</v>
      </c>
      <c r="C589" s="187">
        <f t="shared" si="249"/>
        <v>29184451</v>
      </c>
      <c r="D589" s="187">
        <f t="shared" si="249"/>
        <v>59365013</v>
      </c>
      <c r="E589" s="187">
        <f t="shared" si="249"/>
        <v>51440291</v>
      </c>
      <c r="F589" s="187">
        <f t="shared" si="249"/>
        <v>34530901</v>
      </c>
      <c r="G589" s="188">
        <f t="shared" si="249"/>
        <v>175327056</v>
      </c>
      <c r="H589" s="187"/>
      <c r="I589" s="187">
        <f t="shared" ref="I589:W589" si="250">I586+I588-I541</f>
        <v>52008000</v>
      </c>
      <c r="J589" s="187">
        <f t="shared" si="250"/>
        <v>32904000</v>
      </c>
      <c r="K589" s="187">
        <f t="shared" si="250"/>
        <v>15051000</v>
      </c>
      <c r="L589" s="187">
        <f t="shared" si="250"/>
        <v>15252000</v>
      </c>
      <c r="M589" s="187">
        <f t="shared" si="250"/>
        <v>42801151</v>
      </c>
      <c r="N589" s="187">
        <f t="shared" si="250"/>
        <v>3602000</v>
      </c>
      <c r="O589" s="187">
        <f t="shared" si="250"/>
        <v>5838000</v>
      </c>
      <c r="P589" s="187">
        <f t="shared" si="250"/>
        <v>35868000</v>
      </c>
      <c r="Q589" s="187">
        <f t="shared" si="250"/>
        <v>11296800</v>
      </c>
      <c r="R589" s="188">
        <f t="shared" si="250"/>
        <v>214620951</v>
      </c>
      <c r="S589" s="189">
        <f t="shared" si="250"/>
        <v>84365000</v>
      </c>
      <c r="T589" s="189"/>
      <c r="U589" s="189"/>
      <c r="V589" s="189"/>
      <c r="W589" s="189">
        <f t="shared" si="250"/>
        <v>474313007</v>
      </c>
      <c r="X589" s="190">
        <f>X586+W588</f>
        <v>6007229919</v>
      </c>
    </row>
    <row r="591" spans="1:24" x14ac:dyDescent="0.2">
      <c r="Q591" t="s">
        <v>121</v>
      </c>
    </row>
    <row r="592" spans="1:24" x14ac:dyDescent="0.2">
      <c r="Q592" t="s">
        <v>86</v>
      </c>
    </row>
    <row r="594" spans="1:24" ht="27" x14ac:dyDescent="0.35">
      <c r="A594" s="126" t="s">
        <v>119</v>
      </c>
      <c r="B594" s="121"/>
      <c r="C594" s="121"/>
      <c r="D594" s="122"/>
      <c r="E594" s="121"/>
      <c r="F594" s="121"/>
      <c r="G594" s="121"/>
      <c r="H594" s="121"/>
      <c r="I594" s="121"/>
      <c r="J594" s="121"/>
      <c r="K594" s="121"/>
      <c r="L594" s="123"/>
      <c r="M594" s="124"/>
      <c r="N594" s="121"/>
      <c r="O594" s="121"/>
      <c r="P594" s="121"/>
      <c r="Q594" s="121"/>
      <c r="R594" s="121"/>
      <c r="S594" s="121"/>
      <c r="T594" s="121"/>
      <c r="U594" s="121"/>
      <c r="V594" s="121"/>
      <c r="W594" s="125"/>
      <c r="X594" s="121"/>
    </row>
    <row r="595" spans="1:24" x14ac:dyDescent="0.2">
      <c r="A595" s="52"/>
      <c r="B595" s="52"/>
      <c r="C595" s="21"/>
      <c r="D595" s="115"/>
      <c r="E595" s="52"/>
      <c r="F595" s="115"/>
      <c r="G595" s="52"/>
      <c r="H595" s="115"/>
      <c r="I595" s="115"/>
      <c r="J595" s="115"/>
      <c r="K595" s="52"/>
      <c r="L595" s="115"/>
      <c r="M595" s="52"/>
      <c r="N595" s="52"/>
      <c r="O595" s="52"/>
      <c r="P595" s="52"/>
      <c r="Q595" s="52"/>
      <c r="R595" s="52"/>
      <c r="S595" s="52"/>
      <c r="T595" s="52"/>
      <c r="U595" s="52"/>
      <c r="V595" s="52"/>
      <c r="W595" s="91"/>
      <c r="X595" s="91"/>
    </row>
    <row r="596" spans="1:24" ht="27.75" thickBot="1" x14ac:dyDescent="0.4">
      <c r="A596" s="126" t="s">
        <v>107</v>
      </c>
      <c r="B596" s="121"/>
      <c r="C596" s="121"/>
      <c r="D596" s="121"/>
      <c r="E596" s="121"/>
      <c r="F596" s="122"/>
      <c r="G596" s="121"/>
      <c r="H596" s="121"/>
      <c r="I596" s="121"/>
      <c r="J596" s="121"/>
      <c r="K596" s="121"/>
      <c r="L596" s="121"/>
      <c r="M596" s="121"/>
      <c r="N596" s="121"/>
      <c r="O596" s="121"/>
      <c r="P596" s="121"/>
      <c r="Q596" s="121"/>
      <c r="R596" s="121"/>
      <c r="S596" s="121"/>
      <c r="T596" s="121"/>
      <c r="U596" s="121"/>
      <c r="V596" s="121"/>
      <c r="W596" s="125"/>
      <c r="X596" s="125"/>
    </row>
    <row r="597" spans="1:24" x14ac:dyDescent="0.2">
      <c r="A597" s="174"/>
      <c r="B597" s="173"/>
      <c r="C597" s="173"/>
      <c r="D597" s="173"/>
      <c r="E597" s="173"/>
      <c r="F597" s="173"/>
      <c r="G597" s="173"/>
      <c r="H597" s="173"/>
      <c r="I597" s="173"/>
      <c r="J597" s="173"/>
      <c r="K597" s="173"/>
      <c r="L597" s="173"/>
      <c r="M597" s="173"/>
      <c r="N597" s="173"/>
      <c r="O597" s="173"/>
      <c r="P597" s="173"/>
      <c r="Q597" s="173"/>
      <c r="R597" s="173"/>
      <c r="S597" s="173"/>
      <c r="T597" s="173"/>
      <c r="U597" s="173"/>
      <c r="V597" s="173"/>
      <c r="W597" s="173"/>
      <c r="X597" s="181"/>
    </row>
    <row r="598" spans="1:24" ht="13.5" thickBot="1" x14ac:dyDescent="0.25">
      <c r="A598" s="176"/>
      <c r="B598" s="179" t="s">
        <v>112</v>
      </c>
      <c r="C598" s="177"/>
      <c r="D598" s="177"/>
      <c r="E598" s="177"/>
      <c r="F598" s="177"/>
      <c r="G598" s="177"/>
      <c r="H598" s="177"/>
      <c r="I598" s="177"/>
      <c r="J598" s="177"/>
      <c r="K598" s="177"/>
      <c r="L598" s="179" t="s">
        <v>113</v>
      </c>
      <c r="M598" s="177"/>
      <c r="N598" s="177"/>
      <c r="O598" s="177"/>
      <c r="P598" s="177"/>
      <c r="Q598" s="177"/>
      <c r="R598" s="177"/>
      <c r="S598" s="177"/>
      <c r="T598" s="177"/>
      <c r="U598" s="177"/>
      <c r="V598" s="177"/>
      <c r="W598" s="177"/>
      <c r="X598" s="182"/>
    </row>
    <row r="599" spans="1:24" x14ac:dyDescent="0.2">
      <c r="A599" s="175"/>
      <c r="B599" s="155" t="s">
        <v>11</v>
      </c>
      <c r="C599" s="155" t="s">
        <v>12</v>
      </c>
      <c r="D599" s="155" t="s">
        <v>13</v>
      </c>
      <c r="E599" s="155" t="s">
        <v>14</v>
      </c>
      <c r="F599" s="155" t="s">
        <v>15</v>
      </c>
      <c r="G599" s="193" t="s">
        <v>16</v>
      </c>
      <c r="H599" s="21"/>
      <c r="I599" s="155" t="s">
        <v>17</v>
      </c>
      <c r="J599" s="21"/>
      <c r="K599" s="21"/>
      <c r="L599" s="21"/>
      <c r="M599" s="21"/>
      <c r="N599" s="155" t="s">
        <v>18</v>
      </c>
      <c r="O599" s="155" t="s">
        <v>19</v>
      </c>
      <c r="P599" s="155" t="s">
        <v>20</v>
      </c>
      <c r="Q599" s="155" t="s">
        <v>21</v>
      </c>
      <c r="R599" s="193" t="s">
        <v>16</v>
      </c>
      <c r="S599" s="193" t="s">
        <v>114</v>
      </c>
      <c r="T599" s="209" t="s">
        <v>127</v>
      </c>
      <c r="U599" s="207"/>
      <c r="V599" s="207"/>
      <c r="W599" s="155" t="s">
        <v>7</v>
      </c>
      <c r="X599" s="194" t="s">
        <v>70</v>
      </c>
    </row>
    <row r="600" spans="1:24" ht="13.5" thickBot="1" x14ac:dyDescent="0.25">
      <c r="A600" s="176"/>
      <c r="B600" s="179" t="s">
        <v>23</v>
      </c>
      <c r="C600" s="179" t="s">
        <v>24</v>
      </c>
      <c r="D600" s="179" t="s">
        <v>25</v>
      </c>
      <c r="E600" s="179" t="s">
        <v>26</v>
      </c>
      <c r="F600" s="179" t="s">
        <v>27</v>
      </c>
      <c r="G600" s="195" t="s">
        <v>28</v>
      </c>
      <c r="H600" s="179"/>
      <c r="I600" s="179" t="s">
        <v>29</v>
      </c>
      <c r="J600" s="179" t="s">
        <v>30</v>
      </c>
      <c r="K600" s="179" t="s">
        <v>31</v>
      </c>
      <c r="L600" s="179" t="s">
        <v>32</v>
      </c>
      <c r="M600" s="179" t="s">
        <v>33</v>
      </c>
      <c r="N600" s="179" t="s">
        <v>34</v>
      </c>
      <c r="O600" s="179" t="s">
        <v>35</v>
      </c>
      <c r="P600" s="179" t="s">
        <v>36</v>
      </c>
      <c r="Q600" s="179" t="s">
        <v>37</v>
      </c>
      <c r="R600" s="195" t="s">
        <v>28</v>
      </c>
      <c r="S600" s="195" t="s">
        <v>129</v>
      </c>
      <c r="T600" s="210" t="s">
        <v>130</v>
      </c>
      <c r="U600" s="179"/>
      <c r="V600" s="179"/>
      <c r="W600" s="179" t="s">
        <v>10</v>
      </c>
      <c r="X600" s="196" t="s">
        <v>71</v>
      </c>
    </row>
    <row r="601" spans="1:24" x14ac:dyDescent="0.2">
      <c r="A601" s="175"/>
      <c r="B601" s="117"/>
      <c r="C601" s="117"/>
      <c r="D601" s="117"/>
      <c r="E601" s="117"/>
      <c r="F601" s="117"/>
      <c r="G601" s="178"/>
      <c r="H601" s="52"/>
      <c r="I601" s="117"/>
      <c r="J601" s="117"/>
      <c r="K601" s="117"/>
      <c r="L601" s="117"/>
      <c r="M601" s="117"/>
      <c r="N601" s="117"/>
      <c r="O601" s="117"/>
      <c r="P601" s="117"/>
      <c r="Q601" s="117"/>
      <c r="R601" s="178"/>
      <c r="S601" s="184"/>
      <c r="T601" s="185"/>
      <c r="U601" s="185"/>
      <c r="V601" s="185"/>
      <c r="W601" s="185"/>
      <c r="X601" s="183"/>
    </row>
    <row r="602" spans="1:24" x14ac:dyDescent="0.2">
      <c r="A602" s="191" t="s">
        <v>41</v>
      </c>
      <c r="B602" s="91">
        <v>0</v>
      </c>
      <c r="C602" s="91">
        <v>1692000</v>
      </c>
      <c r="D602" s="91">
        <v>5604000</v>
      </c>
      <c r="E602" s="91">
        <v>2349000</v>
      </c>
      <c r="F602" s="91">
        <v>2586000</v>
      </c>
      <c r="G602" s="180">
        <f>SUM(B602:F602)</f>
        <v>12231000</v>
      </c>
      <c r="H602" s="91"/>
      <c r="I602" s="91">
        <v>804000</v>
      </c>
      <c r="J602" s="91">
        <v>99000</v>
      </c>
      <c r="K602" s="91">
        <v>1299000</v>
      </c>
      <c r="L602" s="91">
        <v>1245000</v>
      </c>
      <c r="M602" s="91">
        <v>2115000</v>
      </c>
      <c r="N602" s="91">
        <v>0</v>
      </c>
      <c r="O602" s="91">
        <v>0</v>
      </c>
      <c r="P602" s="91">
        <v>3390000</v>
      </c>
      <c r="Q602" s="91">
        <v>196000</v>
      </c>
      <c r="R602" s="180">
        <f>SUM(I602:Q602)</f>
        <v>9148000</v>
      </c>
      <c r="S602" s="199">
        <v>5761000</v>
      </c>
      <c r="T602" s="91"/>
      <c r="U602" s="91"/>
      <c r="V602" s="91"/>
      <c r="W602" s="86">
        <f>R602+G602+S602</f>
        <v>27140000</v>
      </c>
      <c r="X602" s="46"/>
    </row>
    <row r="603" spans="1:24" x14ac:dyDescent="0.2">
      <c r="A603" s="191" t="s">
        <v>42</v>
      </c>
      <c r="B603" s="91">
        <f t="shared" ref="B603:G603" si="251">B589+B602-B555</f>
        <v>806400</v>
      </c>
      <c r="C603" s="91">
        <f t="shared" si="251"/>
        <v>27882451</v>
      </c>
      <c r="D603" s="91">
        <f t="shared" si="251"/>
        <v>59581013</v>
      </c>
      <c r="E603" s="91">
        <f t="shared" si="251"/>
        <v>48038291</v>
      </c>
      <c r="F603" s="91">
        <f t="shared" si="251"/>
        <v>33930901</v>
      </c>
      <c r="G603" s="180">
        <f t="shared" si="251"/>
        <v>170239056</v>
      </c>
      <c r="H603" s="91"/>
      <c r="I603" s="91">
        <f t="shared" ref="I603:W603" si="252">I589+I602-I555</f>
        <v>51228000</v>
      </c>
      <c r="J603" s="91">
        <f t="shared" si="252"/>
        <v>33003000</v>
      </c>
      <c r="K603" s="91">
        <f t="shared" si="252"/>
        <v>14814000</v>
      </c>
      <c r="L603" s="91">
        <f t="shared" si="252"/>
        <v>15036000</v>
      </c>
      <c r="M603" s="91">
        <f t="shared" si="252"/>
        <v>41397151</v>
      </c>
      <c r="N603" s="91">
        <f t="shared" si="252"/>
        <v>3602000</v>
      </c>
      <c r="O603" s="91">
        <f t="shared" si="252"/>
        <v>4461000</v>
      </c>
      <c r="P603" s="91">
        <f t="shared" si="252"/>
        <v>35970000</v>
      </c>
      <c r="Q603" s="91">
        <f t="shared" si="252"/>
        <v>11492800</v>
      </c>
      <c r="R603" s="180">
        <f t="shared" si="252"/>
        <v>211003951</v>
      </c>
      <c r="S603" s="186">
        <f t="shared" si="252"/>
        <v>87710000</v>
      </c>
      <c r="T603" s="186"/>
      <c r="U603" s="186"/>
      <c r="V603" s="186"/>
      <c r="W603" s="186">
        <f t="shared" si="252"/>
        <v>468953007</v>
      </c>
      <c r="X603" s="46">
        <f>X589+W602</f>
        <v>6034369919</v>
      </c>
    </row>
    <row r="604" spans="1:24" x14ac:dyDescent="0.2">
      <c r="A604" s="191"/>
      <c r="B604" s="52"/>
      <c r="C604" s="52"/>
      <c r="D604" s="52"/>
      <c r="E604" s="52"/>
      <c r="F604" s="52"/>
      <c r="G604" s="180"/>
      <c r="H604" s="91"/>
      <c r="I604" s="52"/>
      <c r="J604" s="52"/>
      <c r="K604" s="52"/>
      <c r="L604" s="52"/>
      <c r="M604" s="52"/>
      <c r="N604" s="52"/>
      <c r="O604" s="52"/>
      <c r="P604" s="52"/>
      <c r="Q604" s="52"/>
      <c r="R604" s="180"/>
      <c r="S604" s="184"/>
      <c r="T604" s="185"/>
      <c r="U604" s="185"/>
      <c r="V604" s="185"/>
      <c r="W604" s="186"/>
      <c r="X604" s="46"/>
    </row>
    <row r="605" spans="1:24" x14ac:dyDescent="0.2">
      <c r="A605" s="191" t="s">
        <v>43</v>
      </c>
      <c r="B605" s="91">
        <v>0</v>
      </c>
      <c r="C605" s="91">
        <v>1482000</v>
      </c>
      <c r="D605" s="91">
        <v>4524000</v>
      </c>
      <c r="E605" s="91">
        <v>1152000</v>
      </c>
      <c r="F605" s="91">
        <v>1518000</v>
      </c>
      <c r="G605" s="180">
        <f>SUM(B605:F605)</f>
        <v>8676000</v>
      </c>
      <c r="H605" s="91"/>
      <c r="I605" s="91">
        <v>1356000</v>
      </c>
      <c r="J605" s="91">
        <v>0</v>
      </c>
      <c r="K605" s="91">
        <v>1143000</v>
      </c>
      <c r="L605" s="91">
        <v>1083000</v>
      </c>
      <c r="M605" s="91">
        <v>2565000</v>
      </c>
      <c r="N605" s="91">
        <v>0</v>
      </c>
      <c r="O605" s="91">
        <v>0</v>
      </c>
      <c r="P605" s="91">
        <v>3024000</v>
      </c>
      <c r="Q605" s="91">
        <v>0</v>
      </c>
      <c r="R605" s="180">
        <f>SUM(I605:Q605)</f>
        <v>9171000</v>
      </c>
      <c r="S605" s="199">
        <v>3269000</v>
      </c>
      <c r="T605" s="186"/>
      <c r="U605" s="186"/>
      <c r="V605" s="186"/>
      <c r="W605" s="86">
        <f>R605+G605+S605</f>
        <v>21116000</v>
      </c>
      <c r="X605" s="46"/>
    </row>
    <row r="606" spans="1:24" x14ac:dyDescent="0.2">
      <c r="A606" s="191" t="s">
        <v>42</v>
      </c>
      <c r="B606" s="91">
        <f t="shared" ref="B606:G606" si="253">B603+B605-B558</f>
        <v>700800</v>
      </c>
      <c r="C606" s="91">
        <f t="shared" si="253"/>
        <v>27702451</v>
      </c>
      <c r="D606" s="91">
        <f t="shared" si="253"/>
        <v>60313013</v>
      </c>
      <c r="E606" s="91">
        <f t="shared" si="253"/>
        <v>44339291</v>
      </c>
      <c r="F606" s="91">
        <f t="shared" si="253"/>
        <v>32658901</v>
      </c>
      <c r="G606" s="180">
        <f t="shared" si="253"/>
        <v>165714456</v>
      </c>
      <c r="H606" s="91"/>
      <c r="I606" s="91">
        <f t="shared" ref="I606:W606" si="254">I603+I605-I558</f>
        <v>50940000</v>
      </c>
      <c r="J606" s="91">
        <f t="shared" si="254"/>
        <v>33003000</v>
      </c>
      <c r="K606" s="91">
        <f t="shared" si="254"/>
        <v>15267000</v>
      </c>
      <c r="L606" s="91">
        <f t="shared" si="254"/>
        <v>15477000</v>
      </c>
      <c r="M606" s="91">
        <f t="shared" si="254"/>
        <v>40272151</v>
      </c>
      <c r="N606" s="91">
        <f t="shared" si="254"/>
        <v>3602000</v>
      </c>
      <c r="O606" s="91">
        <f t="shared" si="254"/>
        <v>3342000</v>
      </c>
      <c r="P606" s="91">
        <f t="shared" si="254"/>
        <v>35826000</v>
      </c>
      <c r="Q606" s="91">
        <f t="shared" si="254"/>
        <v>11492800</v>
      </c>
      <c r="R606" s="180">
        <f t="shared" si="254"/>
        <v>209221951</v>
      </c>
      <c r="S606" s="186">
        <f t="shared" si="254"/>
        <v>85980000</v>
      </c>
      <c r="T606" s="186"/>
      <c r="U606" s="186"/>
      <c r="V606" s="186"/>
      <c r="W606" s="186">
        <f t="shared" si="254"/>
        <v>460916407</v>
      </c>
      <c r="X606" s="46">
        <f>X603+W605</f>
        <v>6055485919</v>
      </c>
    </row>
    <row r="607" spans="1:24" x14ac:dyDescent="0.2">
      <c r="A607" s="191"/>
      <c r="B607" s="91"/>
      <c r="C607" s="91"/>
      <c r="D607" s="91"/>
      <c r="E607" s="91"/>
      <c r="F607" s="91"/>
      <c r="G607" s="180"/>
      <c r="H607" s="91"/>
      <c r="I607" s="91"/>
      <c r="J607" s="91"/>
      <c r="K607" s="91"/>
      <c r="L607" s="91"/>
      <c r="M607" s="91"/>
      <c r="N607" s="91"/>
      <c r="O607" s="91"/>
      <c r="P607" s="91"/>
      <c r="Q607" s="91"/>
      <c r="R607" s="180"/>
      <c r="S607" s="184"/>
      <c r="T607" s="185"/>
      <c r="U607" s="185"/>
      <c r="V607" s="185"/>
      <c r="W607" s="186"/>
      <c r="X607" s="46"/>
    </row>
    <row r="608" spans="1:24" x14ac:dyDescent="0.2">
      <c r="A608" s="191" t="s">
        <v>44</v>
      </c>
      <c r="B608" s="91">
        <v>0</v>
      </c>
      <c r="C608" s="91">
        <v>1716000</v>
      </c>
      <c r="D608" s="91">
        <v>4536000</v>
      </c>
      <c r="E608" s="91">
        <v>1611000</v>
      </c>
      <c r="F608" s="91">
        <v>2226000</v>
      </c>
      <c r="G608" s="180">
        <f>SUM(B608:F608)</f>
        <v>10089000</v>
      </c>
      <c r="H608" s="91"/>
      <c r="I608" s="91">
        <v>1548000</v>
      </c>
      <c r="J608" s="91">
        <v>0</v>
      </c>
      <c r="K608" s="91">
        <v>1716000</v>
      </c>
      <c r="L608" s="91">
        <v>1719000</v>
      </c>
      <c r="M608" s="91">
        <v>2538000</v>
      </c>
      <c r="N608" s="91">
        <v>0</v>
      </c>
      <c r="O608" s="91">
        <v>435000</v>
      </c>
      <c r="P608" s="91">
        <v>3000000</v>
      </c>
      <c r="Q608" s="91">
        <v>0</v>
      </c>
      <c r="R608" s="180">
        <f>SUM(I608:Q608)</f>
        <v>10956000</v>
      </c>
      <c r="S608" s="199">
        <v>4555000</v>
      </c>
      <c r="T608" s="186"/>
      <c r="U608" s="186"/>
      <c r="V608" s="186"/>
      <c r="W608" s="86">
        <f>R608+G608+S608</f>
        <v>25600000</v>
      </c>
      <c r="X608" s="46"/>
    </row>
    <row r="609" spans="1:24" x14ac:dyDescent="0.2">
      <c r="A609" s="191" t="s">
        <v>42</v>
      </c>
      <c r="B609" s="91">
        <f t="shared" ref="B609:G609" si="255">B606+B608-B561</f>
        <v>523200</v>
      </c>
      <c r="C609" s="91">
        <f t="shared" si="255"/>
        <v>27768451</v>
      </c>
      <c r="D609" s="91">
        <f t="shared" si="255"/>
        <v>61801013</v>
      </c>
      <c r="E609" s="91">
        <f t="shared" si="255"/>
        <v>40505291</v>
      </c>
      <c r="F609" s="91">
        <f t="shared" si="255"/>
        <v>32154901</v>
      </c>
      <c r="G609" s="180">
        <f t="shared" si="255"/>
        <v>162752856</v>
      </c>
      <c r="H609" s="91"/>
      <c r="I609" s="91">
        <f t="shared" ref="I609:W609" si="256">I606+I608-I561</f>
        <v>50244000</v>
      </c>
      <c r="J609" s="91">
        <f t="shared" si="256"/>
        <v>33003000</v>
      </c>
      <c r="K609" s="91">
        <f t="shared" si="256"/>
        <v>16329000</v>
      </c>
      <c r="L609" s="91">
        <f t="shared" si="256"/>
        <v>16524000</v>
      </c>
      <c r="M609" s="91">
        <f t="shared" si="256"/>
        <v>38724151</v>
      </c>
      <c r="N609" s="91">
        <f t="shared" si="256"/>
        <v>3602000</v>
      </c>
      <c r="O609" s="91">
        <f t="shared" si="256"/>
        <v>2547000</v>
      </c>
      <c r="P609" s="91">
        <f t="shared" si="256"/>
        <v>35484000</v>
      </c>
      <c r="Q609" s="91">
        <f t="shared" si="256"/>
        <v>11492800</v>
      </c>
      <c r="R609" s="180">
        <f t="shared" si="256"/>
        <v>207949951</v>
      </c>
      <c r="S609" s="186">
        <f t="shared" si="256"/>
        <v>81380000</v>
      </c>
      <c r="T609" s="186"/>
      <c r="U609" s="186"/>
      <c r="V609" s="186"/>
      <c r="W609" s="186">
        <f t="shared" si="256"/>
        <v>452082807</v>
      </c>
      <c r="X609" s="46">
        <f>X606+W608</f>
        <v>6081085919</v>
      </c>
    </row>
    <row r="610" spans="1:24" x14ac:dyDescent="0.2">
      <c r="A610" s="191"/>
      <c r="B610" s="52"/>
      <c r="C610" s="52"/>
      <c r="D610" s="52"/>
      <c r="E610" s="52"/>
      <c r="F610" s="52"/>
      <c r="G610" s="180"/>
      <c r="H610" s="91"/>
      <c r="I610" s="52"/>
      <c r="J610" s="52"/>
      <c r="K610" s="52"/>
      <c r="L610" s="52"/>
      <c r="M610" s="52"/>
      <c r="N610" s="52"/>
      <c r="O610" s="52"/>
      <c r="P610" s="52"/>
      <c r="Q610" s="52"/>
      <c r="R610" s="180"/>
      <c r="S610" s="184"/>
      <c r="T610" s="185"/>
      <c r="U610" s="185"/>
      <c r="V610" s="185"/>
      <c r="W610" s="186"/>
      <c r="X610" s="46"/>
    </row>
    <row r="611" spans="1:24" x14ac:dyDescent="0.2">
      <c r="A611" s="191" t="s">
        <v>45</v>
      </c>
      <c r="B611" s="91">
        <v>0</v>
      </c>
      <c r="C611" s="91">
        <v>2730000</v>
      </c>
      <c r="D611" s="91">
        <v>5460000</v>
      </c>
      <c r="E611" s="91">
        <v>4176000</v>
      </c>
      <c r="F611" s="91">
        <v>2958000</v>
      </c>
      <c r="G611" s="180">
        <f>SUM(B611:F611)</f>
        <v>15324000</v>
      </c>
      <c r="H611" s="91"/>
      <c r="I611" s="91">
        <v>3372000</v>
      </c>
      <c r="J611" s="91">
        <v>0</v>
      </c>
      <c r="K611" s="91">
        <v>1566000</v>
      </c>
      <c r="L611" s="91">
        <v>1647000</v>
      </c>
      <c r="M611" s="91">
        <v>783000</v>
      </c>
      <c r="N611" s="91">
        <v>0</v>
      </c>
      <c r="O611" s="91">
        <v>657000</v>
      </c>
      <c r="P611" s="91">
        <v>3270000</v>
      </c>
      <c r="Q611" s="91">
        <v>1384000</v>
      </c>
      <c r="R611" s="180">
        <f>SUM(I611:Q611)</f>
        <v>12679000</v>
      </c>
      <c r="S611" s="199">
        <v>4841000</v>
      </c>
      <c r="T611" s="186"/>
      <c r="U611" s="186"/>
      <c r="V611" s="186"/>
      <c r="W611" s="86">
        <f>R611+G611+S611</f>
        <v>32844000</v>
      </c>
      <c r="X611" s="46"/>
    </row>
    <row r="612" spans="1:24" x14ac:dyDescent="0.2">
      <c r="A612" s="191" t="s">
        <v>42</v>
      </c>
      <c r="B612" s="91">
        <f t="shared" ref="B612:G612" si="257">B609+B611-B564</f>
        <v>43200</v>
      </c>
      <c r="C612" s="91">
        <f t="shared" si="257"/>
        <v>27726451</v>
      </c>
      <c r="D612" s="91">
        <f t="shared" si="257"/>
        <v>61477013</v>
      </c>
      <c r="E612" s="91">
        <f t="shared" si="257"/>
        <v>40667291</v>
      </c>
      <c r="F612" s="91">
        <f t="shared" si="257"/>
        <v>31956901</v>
      </c>
      <c r="G612" s="180">
        <f t="shared" si="257"/>
        <v>161870856</v>
      </c>
      <c r="H612" s="91"/>
      <c r="I612" s="91">
        <f t="shared" ref="I612:W612" si="258">I609+I611-I564</f>
        <v>49032000</v>
      </c>
      <c r="J612" s="91">
        <f t="shared" si="258"/>
        <v>30555000</v>
      </c>
      <c r="K612" s="91">
        <f t="shared" si="258"/>
        <v>16230000</v>
      </c>
      <c r="L612" s="91">
        <f t="shared" si="258"/>
        <v>16446000</v>
      </c>
      <c r="M612" s="91">
        <f t="shared" si="258"/>
        <v>36033151</v>
      </c>
      <c r="N612" s="91">
        <f t="shared" si="258"/>
        <v>3602000</v>
      </c>
      <c r="O612" s="91">
        <f t="shared" si="258"/>
        <v>2598000</v>
      </c>
      <c r="P612" s="91">
        <f t="shared" si="258"/>
        <v>35796000</v>
      </c>
      <c r="Q612" s="91">
        <f t="shared" si="258"/>
        <v>12876800</v>
      </c>
      <c r="R612" s="180">
        <f t="shared" si="258"/>
        <v>203168951</v>
      </c>
      <c r="S612" s="186">
        <f t="shared" si="258"/>
        <v>78596000</v>
      </c>
      <c r="T612" s="186"/>
      <c r="U612" s="186"/>
      <c r="V612" s="186"/>
      <c r="W612" s="186">
        <f t="shared" si="258"/>
        <v>443635807</v>
      </c>
      <c r="X612" s="46">
        <f>X609+W611</f>
        <v>6113929919</v>
      </c>
    </row>
    <row r="613" spans="1:24" x14ac:dyDescent="0.2">
      <c r="A613" s="191"/>
      <c r="B613" s="52"/>
      <c r="C613" s="52"/>
      <c r="D613" s="52"/>
      <c r="E613" s="52"/>
      <c r="F613" s="52"/>
      <c r="G613" s="180"/>
      <c r="H613" s="91"/>
      <c r="I613" s="52"/>
      <c r="J613" s="52"/>
      <c r="K613" s="52"/>
      <c r="L613" s="52"/>
      <c r="M613" s="52"/>
      <c r="N613" s="52"/>
      <c r="O613" s="52"/>
      <c r="P613" s="52"/>
      <c r="Q613" s="52"/>
      <c r="R613" s="180"/>
      <c r="S613" s="186"/>
      <c r="T613" s="186"/>
      <c r="U613" s="186"/>
      <c r="V613" s="186"/>
      <c r="W613" s="186"/>
      <c r="X613" s="46"/>
    </row>
    <row r="614" spans="1:24" x14ac:dyDescent="0.2">
      <c r="A614" s="191" t="s">
        <v>46</v>
      </c>
      <c r="B614" s="91">
        <v>340800</v>
      </c>
      <c r="C614" s="91">
        <v>2522812</v>
      </c>
      <c r="D614" s="91">
        <v>5509748</v>
      </c>
      <c r="E614" s="91">
        <v>2349225</v>
      </c>
      <c r="F614" s="91">
        <v>3222671</v>
      </c>
      <c r="G614" s="180">
        <f>SUM(B614:F614)</f>
        <v>13945256</v>
      </c>
      <c r="H614" s="91"/>
      <c r="I614" s="91">
        <v>3180000</v>
      </c>
      <c r="J614" s="91">
        <v>0</v>
      </c>
      <c r="K614" s="91">
        <v>1281000</v>
      </c>
      <c r="L614" s="91">
        <v>897000</v>
      </c>
      <c r="M614" s="91">
        <v>3114000</v>
      </c>
      <c r="N614" s="91">
        <v>0</v>
      </c>
      <c r="O614" s="91">
        <v>891000</v>
      </c>
      <c r="P614" s="91">
        <v>3402000</v>
      </c>
      <c r="Q614" s="91">
        <v>0</v>
      </c>
      <c r="R614" s="180">
        <f>SUM(I614:Q614)</f>
        <v>12765000</v>
      </c>
      <c r="S614" s="199">
        <v>6926000</v>
      </c>
      <c r="T614" s="91">
        <v>89816</v>
      </c>
      <c r="U614" s="91"/>
      <c r="V614" s="91"/>
      <c r="W614" s="86">
        <f>R614+G614+S614+T614</f>
        <v>33726072</v>
      </c>
      <c r="X614" s="46"/>
    </row>
    <row r="615" spans="1:24" x14ac:dyDescent="0.2">
      <c r="A615" s="191" t="s">
        <v>42</v>
      </c>
      <c r="B615" s="91">
        <f t="shared" ref="B615:G615" si="259">B612+B614-B567</f>
        <v>384000</v>
      </c>
      <c r="C615" s="91">
        <f t="shared" si="259"/>
        <v>27453263</v>
      </c>
      <c r="D615" s="91">
        <f t="shared" si="259"/>
        <v>60830761</v>
      </c>
      <c r="E615" s="91">
        <f t="shared" si="259"/>
        <v>38975516</v>
      </c>
      <c r="F615" s="91">
        <f t="shared" si="259"/>
        <v>32587572</v>
      </c>
      <c r="G615" s="180">
        <f t="shared" si="259"/>
        <v>160231112</v>
      </c>
      <c r="H615" s="91"/>
      <c r="I615" s="91">
        <f t="shared" ref="I615:W615" si="260">I612+I614-I567</f>
        <v>47688000</v>
      </c>
      <c r="J615" s="91">
        <f t="shared" si="260"/>
        <v>29097000</v>
      </c>
      <c r="K615" s="91">
        <f t="shared" si="260"/>
        <v>16536000</v>
      </c>
      <c r="L615" s="91">
        <f t="shared" si="260"/>
        <v>16005000</v>
      </c>
      <c r="M615" s="91">
        <f t="shared" si="260"/>
        <v>35727151</v>
      </c>
      <c r="N615" s="91">
        <f t="shared" si="260"/>
        <v>3106000</v>
      </c>
      <c r="O615" s="91">
        <f t="shared" si="260"/>
        <v>3366000</v>
      </c>
      <c r="P615" s="91">
        <f t="shared" si="260"/>
        <v>35862000</v>
      </c>
      <c r="Q615" s="91">
        <f t="shared" si="260"/>
        <v>12876800</v>
      </c>
      <c r="R615" s="180">
        <f t="shared" si="260"/>
        <v>200263951</v>
      </c>
      <c r="S615" s="186">
        <f t="shared" si="260"/>
        <v>77539000</v>
      </c>
      <c r="T615" s="186">
        <f>T614</f>
        <v>89816</v>
      </c>
      <c r="U615" s="186"/>
      <c r="V615" s="186"/>
      <c r="W615" s="186">
        <f t="shared" si="260"/>
        <v>438123879</v>
      </c>
      <c r="X615" s="46">
        <f>X612+W614</f>
        <v>6147655991</v>
      </c>
    </row>
    <row r="616" spans="1:24" x14ac:dyDescent="0.2">
      <c r="A616" s="191"/>
      <c r="B616" s="52"/>
      <c r="C616" s="52"/>
      <c r="D616" s="52"/>
      <c r="E616" s="52"/>
      <c r="F616" s="52"/>
      <c r="G616" s="180"/>
      <c r="H616" s="91"/>
      <c r="I616" s="52"/>
      <c r="J616" s="52"/>
      <c r="K616" s="52"/>
      <c r="L616" s="52"/>
      <c r="M616" s="52"/>
      <c r="N616" s="52"/>
      <c r="O616" s="52"/>
      <c r="P616" s="52"/>
      <c r="Q616" s="52"/>
      <c r="R616" s="180"/>
      <c r="S616" s="186"/>
      <c r="T616" s="186"/>
      <c r="U616" s="186"/>
      <c r="V616" s="186"/>
      <c r="W616" s="186"/>
      <c r="X616" s="46"/>
    </row>
    <row r="617" spans="1:24" x14ac:dyDescent="0.2">
      <c r="A617" s="191" t="s">
        <v>47</v>
      </c>
      <c r="B617" s="91">
        <v>432000</v>
      </c>
      <c r="C617" s="91">
        <v>3228000</v>
      </c>
      <c r="D617" s="91">
        <v>5628000</v>
      </c>
      <c r="E617" s="91">
        <v>2385000</v>
      </c>
      <c r="F617" s="91">
        <v>3270000</v>
      </c>
      <c r="G617" s="180">
        <f>SUM(B617:F617)</f>
        <v>14943000</v>
      </c>
      <c r="H617" s="91"/>
      <c r="I617" s="91">
        <v>4044000</v>
      </c>
      <c r="J617" s="91">
        <v>0</v>
      </c>
      <c r="K617" s="91">
        <v>1479000</v>
      </c>
      <c r="L617" s="91">
        <v>1377000</v>
      </c>
      <c r="M617" s="91">
        <v>3186000</v>
      </c>
      <c r="N617" s="91">
        <v>68000</v>
      </c>
      <c r="O617" s="91">
        <v>852000</v>
      </c>
      <c r="P617" s="91">
        <v>3360000</v>
      </c>
      <c r="Q617" s="91">
        <v>0</v>
      </c>
      <c r="R617" s="180">
        <f>SUM(I617:Q617)</f>
        <v>14366000</v>
      </c>
      <c r="S617" s="199">
        <v>6366000</v>
      </c>
      <c r="T617" s="91">
        <v>340425</v>
      </c>
      <c r="U617" s="91"/>
      <c r="V617" s="91"/>
      <c r="W617" s="86">
        <f>R617+G617+S617+T617</f>
        <v>36015425</v>
      </c>
      <c r="X617" s="46"/>
    </row>
    <row r="618" spans="1:24" x14ac:dyDescent="0.2">
      <c r="A618" s="191" t="s">
        <v>42</v>
      </c>
      <c r="B618" s="91">
        <f t="shared" ref="B618:G618" si="261">B615+B617-B570</f>
        <v>816000</v>
      </c>
      <c r="C618" s="91">
        <f t="shared" si="261"/>
        <v>27501263</v>
      </c>
      <c r="D618" s="91">
        <f t="shared" si="261"/>
        <v>60794761</v>
      </c>
      <c r="E618" s="91">
        <f t="shared" si="261"/>
        <v>37949516</v>
      </c>
      <c r="F618" s="91">
        <f t="shared" si="261"/>
        <v>33205572</v>
      </c>
      <c r="G618" s="180">
        <f t="shared" si="261"/>
        <v>160267112</v>
      </c>
      <c r="H618" s="91"/>
      <c r="I618" s="91">
        <f t="shared" ref="I618:W618" si="262">I615+I617-I570</f>
        <v>46188000</v>
      </c>
      <c r="J618" s="91">
        <f t="shared" si="262"/>
        <v>24894000</v>
      </c>
      <c r="K618" s="91">
        <f t="shared" si="262"/>
        <v>16419000</v>
      </c>
      <c r="L618" s="91">
        <f t="shared" si="262"/>
        <v>15819000</v>
      </c>
      <c r="M618" s="91">
        <f t="shared" si="262"/>
        <v>36231151</v>
      </c>
      <c r="N618" s="91">
        <f t="shared" si="262"/>
        <v>2498000</v>
      </c>
      <c r="O618" s="91">
        <f t="shared" si="262"/>
        <v>4218000</v>
      </c>
      <c r="P618" s="91">
        <f t="shared" si="262"/>
        <v>36024000</v>
      </c>
      <c r="Q618" s="91">
        <f t="shared" si="262"/>
        <v>11952800</v>
      </c>
      <c r="R618" s="180">
        <f t="shared" si="262"/>
        <v>194243951</v>
      </c>
      <c r="S618" s="186">
        <f t="shared" si="262"/>
        <v>76468000</v>
      </c>
      <c r="T618" s="186">
        <f>T615+T617</f>
        <v>430241</v>
      </c>
      <c r="U618" s="186"/>
      <c r="V618" s="186"/>
      <c r="W618" s="186">
        <f t="shared" si="262"/>
        <v>431409304</v>
      </c>
      <c r="X618" s="46">
        <f>X615+W617</f>
        <v>6183671416</v>
      </c>
    </row>
    <row r="619" spans="1:24" x14ac:dyDescent="0.2">
      <c r="A619" s="191"/>
      <c r="B619" s="52"/>
      <c r="C619" s="52"/>
      <c r="D619" s="52"/>
      <c r="E619" s="52"/>
      <c r="F619" s="52"/>
      <c r="G619" s="180"/>
      <c r="H619" s="91"/>
      <c r="I619" s="52"/>
      <c r="J619" s="52"/>
      <c r="K619" s="52"/>
      <c r="L619" s="52"/>
      <c r="M619" s="52"/>
      <c r="N619" s="52"/>
      <c r="O619" s="52"/>
      <c r="P619" s="52"/>
      <c r="Q619" s="52"/>
      <c r="R619" s="180"/>
      <c r="S619" s="186" t="s">
        <v>105</v>
      </c>
      <c r="T619" s="186"/>
      <c r="U619" s="186"/>
      <c r="V619" s="186"/>
      <c r="W619" s="186"/>
      <c r="X619" s="46"/>
    </row>
    <row r="620" spans="1:24" x14ac:dyDescent="0.2">
      <c r="A620" s="191" t="s">
        <v>48</v>
      </c>
      <c r="B620" s="91">
        <v>561600</v>
      </c>
      <c r="C620" s="91">
        <v>3096000</v>
      </c>
      <c r="D620" s="91">
        <v>5292000</v>
      </c>
      <c r="E620" s="91">
        <v>2133000</v>
      </c>
      <c r="F620" s="91">
        <v>2178000</v>
      </c>
      <c r="G620" s="180">
        <f>SUM(B620:F620)</f>
        <v>13260600</v>
      </c>
      <c r="H620" s="91"/>
      <c r="I620" s="91">
        <v>3768000</v>
      </c>
      <c r="J620" s="91">
        <v>747000</v>
      </c>
      <c r="K620" s="91">
        <v>1761000</v>
      </c>
      <c r="L620" s="91">
        <v>1842000</v>
      </c>
      <c r="M620" s="91">
        <v>2691000</v>
      </c>
      <c r="N620" s="91">
        <v>540000</v>
      </c>
      <c r="O620" s="91">
        <v>1023000</v>
      </c>
      <c r="P620" s="91">
        <v>3408000</v>
      </c>
      <c r="Q620" s="91">
        <v>0</v>
      </c>
      <c r="R620" s="180">
        <f>SUM(I620:Q620)</f>
        <v>15780000</v>
      </c>
      <c r="S620" s="199">
        <v>5733000</v>
      </c>
      <c r="T620" s="91">
        <v>2227</v>
      </c>
      <c r="U620" s="91"/>
      <c r="V620" s="91"/>
      <c r="W620" s="86">
        <f>R620+G620+S620+T620</f>
        <v>34775827</v>
      </c>
      <c r="X620" s="46"/>
    </row>
    <row r="621" spans="1:24" x14ac:dyDescent="0.2">
      <c r="A621" s="191" t="s">
        <v>42</v>
      </c>
      <c r="B621" s="91">
        <f t="shared" ref="B621:G621" si="263">B618+B620-B573</f>
        <v>1377600</v>
      </c>
      <c r="C621" s="91">
        <f t="shared" si="263"/>
        <v>27339263</v>
      </c>
      <c r="D621" s="91">
        <f t="shared" si="263"/>
        <v>59954761</v>
      </c>
      <c r="E621" s="91">
        <f t="shared" si="263"/>
        <v>36419516</v>
      </c>
      <c r="F621" s="91">
        <f t="shared" si="263"/>
        <v>32203572</v>
      </c>
      <c r="G621" s="180">
        <f t="shared" si="263"/>
        <v>157294712</v>
      </c>
      <c r="H621" s="91"/>
      <c r="I621" s="91">
        <f t="shared" ref="I621:W621" si="264">I618+I620-I573</f>
        <v>44076000</v>
      </c>
      <c r="J621" s="91">
        <f t="shared" si="264"/>
        <v>21159000</v>
      </c>
      <c r="K621" s="91">
        <f t="shared" si="264"/>
        <v>16734000</v>
      </c>
      <c r="L621" s="91">
        <f t="shared" si="264"/>
        <v>16071000</v>
      </c>
      <c r="M621" s="91">
        <f t="shared" si="264"/>
        <v>35484151</v>
      </c>
      <c r="N621" s="91">
        <f t="shared" si="264"/>
        <v>2342000</v>
      </c>
      <c r="O621" s="91">
        <f t="shared" si="264"/>
        <v>5241000</v>
      </c>
      <c r="P621" s="91">
        <f t="shared" si="264"/>
        <v>36180000</v>
      </c>
      <c r="Q621" s="91">
        <f t="shared" si="264"/>
        <v>9564800</v>
      </c>
      <c r="R621" s="180">
        <f t="shared" si="264"/>
        <v>186851951</v>
      </c>
      <c r="S621" s="186">
        <f t="shared" si="264"/>
        <v>76029000</v>
      </c>
      <c r="T621" s="186">
        <f>T618+T620</f>
        <v>432468</v>
      </c>
      <c r="U621" s="186"/>
      <c r="V621" s="186"/>
      <c r="W621" s="186">
        <f t="shared" si="264"/>
        <v>420608131</v>
      </c>
      <c r="X621" s="46">
        <f>X618+W620</f>
        <v>6218447243</v>
      </c>
    </row>
    <row r="622" spans="1:24" x14ac:dyDescent="0.2">
      <c r="A622" s="191"/>
      <c r="B622" s="52"/>
      <c r="C622" s="52"/>
      <c r="D622" s="52"/>
      <c r="E622" s="52"/>
      <c r="F622" s="52"/>
      <c r="G622" s="180"/>
      <c r="H622" s="91"/>
      <c r="I622" s="52"/>
      <c r="J622" s="52"/>
      <c r="K622" s="52"/>
      <c r="L622" s="52"/>
      <c r="M622" s="52"/>
      <c r="N622" s="52"/>
      <c r="O622" s="52"/>
      <c r="P622" s="52"/>
      <c r="Q622" s="52"/>
      <c r="R622" s="180"/>
      <c r="S622" s="186"/>
      <c r="T622" s="186"/>
      <c r="U622" s="186"/>
      <c r="V622" s="186"/>
      <c r="W622" s="186"/>
      <c r="X622" s="46"/>
    </row>
    <row r="623" spans="1:24" x14ac:dyDescent="0.2">
      <c r="A623" s="191" t="s">
        <v>49</v>
      </c>
      <c r="B623" s="91">
        <v>374400</v>
      </c>
      <c r="C623" s="91">
        <v>2352000</v>
      </c>
      <c r="D623" s="91">
        <v>4956000</v>
      </c>
      <c r="E623" s="91">
        <v>2079000</v>
      </c>
      <c r="F623" s="91">
        <v>2220000</v>
      </c>
      <c r="G623" s="180">
        <f>SUM(B623:F623)</f>
        <v>11981400</v>
      </c>
      <c r="H623" s="91"/>
      <c r="I623" s="91">
        <v>2520000</v>
      </c>
      <c r="J623" s="91">
        <v>1035000</v>
      </c>
      <c r="K623" s="91">
        <v>1512000</v>
      </c>
      <c r="L623" s="91">
        <v>1587000</v>
      </c>
      <c r="M623" s="91">
        <v>2286000</v>
      </c>
      <c r="N623" s="91">
        <v>602000</v>
      </c>
      <c r="O623" s="91">
        <v>1245000</v>
      </c>
      <c r="P623" s="91">
        <v>3492000</v>
      </c>
      <c r="Q623" s="91">
        <v>160000</v>
      </c>
      <c r="R623" s="180">
        <f>SUM(I623:Q623)</f>
        <v>14439000</v>
      </c>
      <c r="S623" s="199">
        <v>5230000</v>
      </c>
      <c r="T623" s="91">
        <v>0</v>
      </c>
      <c r="U623" s="91"/>
      <c r="V623" s="91"/>
      <c r="W623" s="86">
        <f>R623+G623+S623+T623</f>
        <v>31650400</v>
      </c>
      <c r="X623" s="46"/>
    </row>
    <row r="624" spans="1:24" x14ac:dyDescent="0.2">
      <c r="A624" s="191" t="s">
        <v>42</v>
      </c>
      <c r="B624" s="91">
        <f t="shared" ref="B624:G624" si="265">B621+B623-B576</f>
        <v>1752000</v>
      </c>
      <c r="C624" s="91">
        <f t="shared" si="265"/>
        <v>26984812</v>
      </c>
      <c r="D624" s="91">
        <f t="shared" si="265"/>
        <v>59269748</v>
      </c>
      <c r="E624" s="91">
        <f t="shared" si="265"/>
        <v>34965225</v>
      </c>
      <c r="F624" s="91">
        <f t="shared" si="265"/>
        <v>32112671</v>
      </c>
      <c r="G624" s="180">
        <f t="shared" si="265"/>
        <v>155084456</v>
      </c>
      <c r="H624" s="91"/>
      <c r="I624" s="91">
        <f t="shared" ref="I624:W624" si="266">I621+I623-I576</f>
        <v>40716000</v>
      </c>
      <c r="J624" s="91">
        <f t="shared" si="266"/>
        <v>17757000</v>
      </c>
      <c r="K624" s="91">
        <f t="shared" si="266"/>
        <v>17139000</v>
      </c>
      <c r="L624" s="91">
        <f t="shared" si="266"/>
        <v>16296000</v>
      </c>
      <c r="M624" s="91">
        <f t="shared" si="266"/>
        <v>34425000</v>
      </c>
      <c r="N624" s="91">
        <f t="shared" si="266"/>
        <v>2178000</v>
      </c>
      <c r="O624" s="91">
        <f t="shared" si="266"/>
        <v>5631000</v>
      </c>
      <c r="P624" s="91">
        <f t="shared" si="266"/>
        <v>36480000</v>
      </c>
      <c r="Q624" s="91">
        <f t="shared" si="266"/>
        <v>7364000</v>
      </c>
      <c r="R624" s="180">
        <f t="shared" si="266"/>
        <v>177986000</v>
      </c>
      <c r="S624" s="186">
        <f t="shared" si="266"/>
        <v>72687000</v>
      </c>
      <c r="T624" s="186">
        <f>T621+T623</f>
        <v>432468</v>
      </c>
      <c r="U624" s="186"/>
      <c r="V624" s="186"/>
      <c r="W624" s="186">
        <f t="shared" si="266"/>
        <v>406189924</v>
      </c>
      <c r="X624" s="46">
        <f>X621+W623</f>
        <v>6250097643</v>
      </c>
    </row>
    <row r="625" spans="1:24" x14ac:dyDescent="0.2">
      <c r="A625" s="191"/>
      <c r="B625" s="52"/>
      <c r="C625" s="52"/>
      <c r="D625" s="52"/>
      <c r="E625" s="52"/>
      <c r="F625" s="52"/>
      <c r="G625" s="180"/>
      <c r="H625" s="91"/>
      <c r="I625" s="52"/>
      <c r="J625" s="52"/>
      <c r="K625" s="52"/>
      <c r="L625" s="52"/>
      <c r="M625" s="52"/>
      <c r="N625" s="52"/>
      <c r="O625" s="52"/>
      <c r="P625" s="52"/>
      <c r="Q625" s="52"/>
      <c r="R625" s="180"/>
      <c r="S625" s="186"/>
      <c r="T625" s="186"/>
      <c r="U625" s="186"/>
      <c r="V625" s="186"/>
      <c r="W625" s="186"/>
      <c r="X625" s="46"/>
    </row>
    <row r="626" spans="1:24" x14ac:dyDescent="0.2">
      <c r="A626" s="191" t="s">
        <v>50</v>
      </c>
      <c r="B626" s="91">
        <v>556800</v>
      </c>
      <c r="C626" s="91">
        <v>2520000</v>
      </c>
      <c r="D626" s="91">
        <v>5760000</v>
      </c>
      <c r="E626" s="91">
        <v>495000</v>
      </c>
      <c r="F626" s="91">
        <v>1992000</v>
      </c>
      <c r="G626" s="180">
        <f>SUM(B626:F626)</f>
        <v>11323800</v>
      </c>
      <c r="H626" s="91"/>
      <c r="I626" s="91">
        <v>3516000</v>
      </c>
      <c r="J626" s="91">
        <v>846000</v>
      </c>
      <c r="K626" s="91">
        <v>1719000</v>
      </c>
      <c r="L626" s="91">
        <v>1428000</v>
      </c>
      <c r="M626" s="91">
        <v>2943000</v>
      </c>
      <c r="N626" s="91">
        <v>514000</v>
      </c>
      <c r="O626" s="91">
        <v>906000</v>
      </c>
      <c r="P626" s="91">
        <v>3360000</v>
      </c>
      <c r="Q626" s="91">
        <v>0</v>
      </c>
      <c r="R626" s="180">
        <f>SUM(I626:Q626)</f>
        <v>15232000</v>
      </c>
      <c r="S626" s="199">
        <v>4898000</v>
      </c>
      <c r="T626" s="91">
        <v>214</v>
      </c>
      <c r="U626" s="91"/>
      <c r="V626" s="91"/>
      <c r="W626" s="86">
        <f>R626+G626+S626+T626</f>
        <v>31454014</v>
      </c>
      <c r="X626" s="46"/>
    </row>
    <row r="627" spans="1:24" x14ac:dyDescent="0.2">
      <c r="A627" s="191" t="s">
        <v>42</v>
      </c>
      <c r="B627" s="91">
        <f t="shared" ref="B627:G627" si="267">B624+B626-B579</f>
        <v>2289600</v>
      </c>
      <c r="C627" s="91">
        <f t="shared" si="267"/>
        <v>27266812</v>
      </c>
      <c r="D627" s="91">
        <f t="shared" si="267"/>
        <v>60217748</v>
      </c>
      <c r="E627" s="91">
        <f t="shared" si="267"/>
        <v>33984225</v>
      </c>
      <c r="F627" s="91">
        <f t="shared" si="267"/>
        <v>31320671</v>
      </c>
      <c r="G627" s="180">
        <f t="shared" si="267"/>
        <v>155079056</v>
      </c>
      <c r="H627" s="91"/>
      <c r="I627" s="91">
        <f t="shared" ref="I627:W627" si="268">I624+I626-I579</f>
        <v>38964000</v>
      </c>
      <c r="J627" s="91">
        <f t="shared" si="268"/>
        <v>14535000</v>
      </c>
      <c r="K627" s="91">
        <f t="shared" si="268"/>
        <v>17511000</v>
      </c>
      <c r="L627" s="91">
        <f t="shared" si="268"/>
        <v>16245000</v>
      </c>
      <c r="M627" s="91">
        <f t="shared" si="268"/>
        <v>33939000</v>
      </c>
      <c r="N627" s="91">
        <f t="shared" si="268"/>
        <v>1986000</v>
      </c>
      <c r="O627" s="91">
        <f t="shared" si="268"/>
        <v>6009000</v>
      </c>
      <c r="P627" s="91">
        <f t="shared" si="268"/>
        <v>36714000</v>
      </c>
      <c r="Q627" s="91">
        <f t="shared" si="268"/>
        <v>5188000</v>
      </c>
      <c r="R627" s="180">
        <f t="shared" si="268"/>
        <v>171091000</v>
      </c>
      <c r="S627" s="186">
        <f t="shared" si="268"/>
        <v>69392000</v>
      </c>
      <c r="T627" s="186">
        <f>T624+T626</f>
        <v>432682</v>
      </c>
      <c r="U627" s="186"/>
      <c r="V627" s="186"/>
      <c r="W627" s="186">
        <f t="shared" si="268"/>
        <v>395994738</v>
      </c>
      <c r="X627" s="46">
        <f>X624+W626</f>
        <v>6281551657</v>
      </c>
    </row>
    <row r="628" spans="1:24" x14ac:dyDescent="0.2">
      <c r="A628" s="191"/>
      <c r="B628" s="52"/>
      <c r="C628" s="52"/>
      <c r="D628" s="52"/>
      <c r="E628" s="52"/>
      <c r="F628" s="52"/>
      <c r="G628" s="180"/>
      <c r="H628" s="91"/>
      <c r="I628" s="52"/>
      <c r="J628" s="52"/>
      <c r="K628" s="52"/>
      <c r="L628" s="52"/>
      <c r="M628" s="52"/>
      <c r="N628" s="52"/>
      <c r="O628" s="52"/>
      <c r="P628" s="52"/>
      <c r="Q628" s="52"/>
      <c r="R628" s="180"/>
      <c r="S628" s="186"/>
      <c r="T628" s="186"/>
      <c r="U628" s="186"/>
      <c r="V628" s="186"/>
      <c r="W628" s="186"/>
      <c r="X628" s="46"/>
    </row>
    <row r="629" spans="1:24" x14ac:dyDescent="0.2">
      <c r="A629" s="191" t="s">
        <v>51</v>
      </c>
      <c r="B629" s="91">
        <v>470400</v>
      </c>
      <c r="C629" s="91">
        <v>1116000</v>
      </c>
      <c r="D629" s="91">
        <v>4332000</v>
      </c>
      <c r="E629" s="91">
        <v>5040000</v>
      </c>
      <c r="F629" s="91">
        <v>2334000</v>
      </c>
      <c r="G629" s="180">
        <f>SUM(B629:F629)</f>
        <v>13292400</v>
      </c>
      <c r="H629" s="91"/>
      <c r="I629" s="91">
        <v>3456000</v>
      </c>
      <c r="J629" s="91">
        <v>459000</v>
      </c>
      <c r="K629" s="91">
        <v>1104000</v>
      </c>
      <c r="L629" s="91">
        <v>1308000</v>
      </c>
      <c r="M629" s="91">
        <v>2214000</v>
      </c>
      <c r="N629" s="91">
        <v>368000</v>
      </c>
      <c r="O629" s="91">
        <v>1080000</v>
      </c>
      <c r="P629" s="91">
        <v>3492000</v>
      </c>
      <c r="Q629" s="91">
        <v>2096000</v>
      </c>
      <c r="R629" s="180">
        <f>SUM(I629:Q629)</f>
        <v>15577000</v>
      </c>
      <c r="S629" s="199">
        <v>4439000</v>
      </c>
      <c r="T629" s="91">
        <v>142775</v>
      </c>
      <c r="U629" s="91"/>
      <c r="V629" s="91"/>
      <c r="W629" s="86">
        <f>R629+G629+S629+T629</f>
        <v>33451175</v>
      </c>
      <c r="X629" s="46"/>
    </row>
    <row r="630" spans="1:24" x14ac:dyDescent="0.2">
      <c r="A630" s="191" t="s">
        <v>42</v>
      </c>
      <c r="B630" s="91">
        <f t="shared" ref="B630:G630" si="269">B627+B629-B582</f>
        <v>2736000</v>
      </c>
      <c r="C630" s="91">
        <f t="shared" si="269"/>
        <v>25994812</v>
      </c>
      <c r="D630" s="91">
        <f t="shared" si="269"/>
        <v>61261748</v>
      </c>
      <c r="E630" s="91">
        <f t="shared" si="269"/>
        <v>35856225</v>
      </c>
      <c r="F630" s="91">
        <f t="shared" si="269"/>
        <v>30468671</v>
      </c>
      <c r="G630" s="180">
        <f t="shared" si="269"/>
        <v>156317456</v>
      </c>
      <c r="H630" s="91"/>
      <c r="I630" s="91">
        <f t="shared" ref="I630:W630" si="270">I627+I629-I582</f>
        <v>37584000</v>
      </c>
      <c r="J630" s="91">
        <f t="shared" si="270"/>
        <v>10962000</v>
      </c>
      <c r="K630" s="91">
        <f t="shared" si="270"/>
        <v>16872000</v>
      </c>
      <c r="L630" s="91">
        <f t="shared" si="270"/>
        <v>15822000</v>
      </c>
      <c r="M630" s="91">
        <f t="shared" si="270"/>
        <v>32292000</v>
      </c>
      <c r="N630" s="91">
        <f t="shared" si="270"/>
        <v>2092000</v>
      </c>
      <c r="O630" s="91">
        <f t="shared" si="270"/>
        <v>7089000</v>
      </c>
      <c r="P630" s="91">
        <f t="shared" si="270"/>
        <v>36996000</v>
      </c>
      <c r="Q630" s="91">
        <f t="shared" si="270"/>
        <v>5048000</v>
      </c>
      <c r="R630" s="180">
        <f t="shared" si="270"/>
        <v>164757000</v>
      </c>
      <c r="S630" s="186">
        <f t="shared" si="270"/>
        <v>66885000</v>
      </c>
      <c r="T630" s="186">
        <f>T627+T629</f>
        <v>575457</v>
      </c>
      <c r="U630" s="186"/>
      <c r="V630" s="186"/>
      <c r="W630" s="186">
        <f t="shared" si="270"/>
        <v>388534913</v>
      </c>
      <c r="X630" s="46">
        <f>X627+W629</f>
        <v>6315002832</v>
      </c>
    </row>
    <row r="631" spans="1:24" x14ac:dyDescent="0.2">
      <c r="A631" s="191"/>
      <c r="B631" s="52"/>
      <c r="C631" s="52"/>
      <c r="D631" s="52"/>
      <c r="E631" s="52"/>
      <c r="F631" s="52"/>
      <c r="G631" s="180"/>
      <c r="H631" s="91"/>
      <c r="I631" s="52"/>
      <c r="J631" s="52"/>
      <c r="K631" s="52"/>
      <c r="L631" s="52"/>
      <c r="M631" s="52"/>
      <c r="N631" s="52"/>
      <c r="O631" s="52"/>
      <c r="P631" s="52"/>
      <c r="Q631" s="52"/>
      <c r="R631" s="180"/>
      <c r="S631" s="186"/>
      <c r="T631" s="186"/>
      <c r="U631" s="186"/>
      <c r="V631" s="186"/>
      <c r="W631" s="186"/>
      <c r="X631" s="46"/>
    </row>
    <row r="632" spans="1:24" x14ac:dyDescent="0.2">
      <c r="A632" s="191" t="s">
        <v>52</v>
      </c>
      <c r="B632" s="91">
        <v>0</v>
      </c>
      <c r="C632" s="91">
        <v>2256000</v>
      </c>
      <c r="D632" s="91">
        <v>2472000</v>
      </c>
      <c r="E632" s="91">
        <v>5508000</v>
      </c>
      <c r="F632" s="91">
        <v>2316000</v>
      </c>
      <c r="G632" s="180">
        <f>SUM(B632:F632)</f>
        <v>12552000</v>
      </c>
      <c r="H632" s="91"/>
      <c r="I632" s="91">
        <v>1332000</v>
      </c>
      <c r="J632" s="91">
        <v>0</v>
      </c>
      <c r="K632" s="91">
        <v>1302000</v>
      </c>
      <c r="L632" s="91">
        <v>1443000</v>
      </c>
      <c r="M632" s="91">
        <v>1701000</v>
      </c>
      <c r="N632" s="91">
        <v>200000</v>
      </c>
      <c r="O632" s="91">
        <v>1122000</v>
      </c>
      <c r="P632" s="91">
        <v>3396000</v>
      </c>
      <c r="Q632" s="91">
        <v>1908000</v>
      </c>
      <c r="R632" s="180">
        <f>SUM(I632:Q632)</f>
        <v>12404000</v>
      </c>
      <c r="S632" s="199">
        <v>3783000</v>
      </c>
      <c r="T632" s="91">
        <v>63554</v>
      </c>
      <c r="U632" s="91"/>
      <c r="V632" s="91"/>
      <c r="W632" s="86">
        <f>R632+G632+S632+T632</f>
        <v>28802554</v>
      </c>
      <c r="X632" s="46"/>
    </row>
    <row r="633" spans="1:24" x14ac:dyDescent="0.2">
      <c r="A633" s="191" t="s">
        <v>42</v>
      </c>
      <c r="B633" s="91">
        <f t="shared" ref="B633:G633" si="271">B630+B632-B585</f>
        <v>2736000</v>
      </c>
      <c r="C633" s="91">
        <f t="shared" si="271"/>
        <v>26384812</v>
      </c>
      <c r="D633" s="91">
        <f t="shared" si="271"/>
        <v>59353748</v>
      </c>
      <c r="E633" s="91">
        <f t="shared" si="271"/>
        <v>35442225</v>
      </c>
      <c r="F633" s="91">
        <f t="shared" si="271"/>
        <v>29862671</v>
      </c>
      <c r="G633" s="180">
        <f t="shared" si="271"/>
        <v>153779456</v>
      </c>
      <c r="H633" s="91"/>
      <c r="I633" s="91">
        <f t="shared" ref="I633:W633" si="272">I630+I632-I585</f>
        <v>33828000</v>
      </c>
      <c r="J633" s="91">
        <f t="shared" si="272"/>
        <v>6975000</v>
      </c>
      <c r="K633" s="91">
        <f t="shared" si="272"/>
        <v>17064000</v>
      </c>
      <c r="L633" s="91">
        <f t="shared" si="272"/>
        <v>16644000</v>
      </c>
      <c r="M633" s="91">
        <f t="shared" si="272"/>
        <v>30132000</v>
      </c>
      <c r="N633" s="91">
        <f t="shared" si="272"/>
        <v>2292000</v>
      </c>
      <c r="O633" s="91">
        <f t="shared" si="272"/>
        <v>8211000</v>
      </c>
      <c r="P633" s="91">
        <f t="shared" si="272"/>
        <v>37800000</v>
      </c>
      <c r="Q633" s="91">
        <f t="shared" si="272"/>
        <v>6336000</v>
      </c>
      <c r="R633" s="180">
        <f t="shared" si="272"/>
        <v>159282000</v>
      </c>
      <c r="S633" s="186">
        <f t="shared" si="272"/>
        <v>62910000</v>
      </c>
      <c r="T633" s="186">
        <f>T630+T632</f>
        <v>639011</v>
      </c>
      <c r="U633" s="186"/>
      <c r="V633" s="186"/>
      <c r="W633" s="186">
        <f t="shared" si="272"/>
        <v>376610467</v>
      </c>
      <c r="X633" s="46">
        <f>X630+W632</f>
        <v>6343805386</v>
      </c>
    </row>
    <row r="634" spans="1:24" x14ac:dyDescent="0.2">
      <c r="A634" s="191"/>
      <c r="B634" s="52"/>
      <c r="C634" s="52"/>
      <c r="D634" s="52"/>
      <c r="E634" s="52"/>
      <c r="F634" s="52"/>
      <c r="G634" s="180"/>
      <c r="H634" s="91"/>
      <c r="I634" s="52"/>
      <c r="J634" s="52"/>
      <c r="K634" s="52"/>
      <c r="L634" s="52"/>
      <c r="M634" s="52"/>
      <c r="N634" s="52"/>
      <c r="O634" s="52"/>
      <c r="P634" s="52"/>
      <c r="Q634" s="52"/>
      <c r="R634" s="180"/>
      <c r="S634" s="186"/>
      <c r="T634" s="186"/>
      <c r="U634" s="186"/>
      <c r="V634" s="186"/>
      <c r="W634" s="186"/>
      <c r="X634" s="46"/>
    </row>
    <row r="635" spans="1:24" x14ac:dyDescent="0.2">
      <c r="A635" s="191" t="s">
        <v>53</v>
      </c>
      <c r="B635" s="91">
        <v>0</v>
      </c>
      <c r="C635" s="91">
        <v>2964000</v>
      </c>
      <c r="D635" s="91">
        <v>5700000</v>
      </c>
      <c r="E635" s="91">
        <v>4113000</v>
      </c>
      <c r="F635" s="91">
        <v>2538000</v>
      </c>
      <c r="G635" s="180">
        <f>SUM(B635:F635)</f>
        <v>15315000</v>
      </c>
      <c r="H635" s="91"/>
      <c r="I635" s="91">
        <v>156000</v>
      </c>
      <c r="J635" s="91">
        <v>0</v>
      </c>
      <c r="K635" s="91">
        <v>1497000</v>
      </c>
      <c r="L635" s="91">
        <v>1446000</v>
      </c>
      <c r="M635" s="91">
        <v>0</v>
      </c>
      <c r="N635" s="91">
        <v>0</v>
      </c>
      <c r="O635" s="91">
        <v>1053000</v>
      </c>
      <c r="P635" s="91">
        <v>2190000</v>
      </c>
      <c r="Q635" s="91">
        <v>0</v>
      </c>
      <c r="R635" s="180">
        <f>SUM(I635:Q635)</f>
        <v>6342000</v>
      </c>
      <c r="S635" s="199">
        <v>4636000</v>
      </c>
      <c r="T635" s="186">
        <v>146569</v>
      </c>
      <c r="U635" s="186"/>
      <c r="V635" s="186"/>
      <c r="W635" s="86">
        <f>R635+G635+S635+T635</f>
        <v>26439569</v>
      </c>
      <c r="X635" s="46"/>
    </row>
    <row r="636" spans="1:24" ht="13.5" thickBot="1" x14ac:dyDescent="0.25">
      <c r="A636" s="192" t="s">
        <v>42</v>
      </c>
      <c r="B636" s="187">
        <f t="shared" ref="B636:G636" si="273">B633+B635-B588</f>
        <v>2736000</v>
      </c>
      <c r="C636" s="187">
        <f t="shared" si="273"/>
        <v>27674812</v>
      </c>
      <c r="D636" s="187">
        <f t="shared" si="273"/>
        <v>59773748</v>
      </c>
      <c r="E636" s="187">
        <f t="shared" si="273"/>
        <v>33390225</v>
      </c>
      <c r="F636" s="187">
        <f t="shared" si="273"/>
        <v>29358671</v>
      </c>
      <c r="G636" s="188">
        <f t="shared" si="273"/>
        <v>152933456</v>
      </c>
      <c r="H636" s="187"/>
      <c r="I636" s="187">
        <f t="shared" ref="I636:W636" si="274">I633+I635-I588</f>
        <v>29052000</v>
      </c>
      <c r="J636" s="187">
        <f t="shared" si="274"/>
        <v>3186000</v>
      </c>
      <c r="K636" s="187">
        <f t="shared" si="274"/>
        <v>17379000</v>
      </c>
      <c r="L636" s="187">
        <f t="shared" si="274"/>
        <v>17022000</v>
      </c>
      <c r="M636" s="187">
        <f t="shared" si="274"/>
        <v>26136000</v>
      </c>
      <c r="N636" s="187">
        <f t="shared" si="274"/>
        <v>2292000</v>
      </c>
      <c r="O636" s="187">
        <f t="shared" si="274"/>
        <v>9264000</v>
      </c>
      <c r="P636" s="187">
        <f t="shared" si="274"/>
        <v>38784000</v>
      </c>
      <c r="Q636" s="187">
        <f t="shared" si="274"/>
        <v>5744000</v>
      </c>
      <c r="R636" s="188">
        <f t="shared" si="274"/>
        <v>148859000</v>
      </c>
      <c r="S636" s="189">
        <f t="shared" si="274"/>
        <v>60437000</v>
      </c>
      <c r="T636" s="189">
        <f>T633+T635</f>
        <v>785580</v>
      </c>
      <c r="U636" s="189"/>
      <c r="V636" s="189"/>
      <c r="W636" s="189">
        <f t="shared" si="274"/>
        <v>363015036</v>
      </c>
      <c r="X636" s="190">
        <f>X633+W635</f>
        <v>6370244955</v>
      </c>
    </row>
    <row r="637" spans="1:24" x14ac:dyDescent="0.2">
      <c r="A637" s="211" t="s">
        <v>128</v>
      </c>
    </row>
    <row r="638" spans="1:24" x14ac:dyDescent="0.2">
      <c r="B638" s="201"/>
      <c r="C638" s="201"/>
      <c r="D638" s="201"/>
      <c r="E638" s="201"/>
      <c r="F638" s="201"/>
      <c r="G638" s="201"/>
      <c r="H638" s="201"/>
      <c r="I638" s="201"/>
      <c r="J638" s="201"/>
      <c r="K638" s="201"/>
      <c r="L638" s="201"/>
      <c r="M638" s="201"/>
      <c r="N638" s="201"/>
      <c r="O638" s="201"/>
      <c r="P638" s="201"/>
      <c r="Q638" t="s">
        <v>122</v>
      </c>
      <c r="R638" s="201"/>
    </row>
    <row r="639" spans="1:24" x14ac:dyDescent="0.2">
      <c r="B639" s="200"/>
      <c r="Q639" t="s">
        <v>190</v>
      </c>
    </row>
    <row r="641" spans="1:24" ht="27" x14ac:dyDescent="0.35">
      <c r="A641" s="126" t="s">
        <v>123</v>
      </c>
      <c r="B641" s="121"/>
      <c r="C641" s="121"/>
      <c r="D641" s="122"/>
      <c r="E641" s="121"/>
      <c r="F641" s="121"/>
      <c r="G641" s="121"/>
      <c r="H641" s="121"/>
      <c r="I641" s="121"/>
      <c r="J641" s="121"/>
      <c r="K641" s="121"/>
      <c r="L641" s="123"/>
      <c r="M641" s="124"/>
      <c r="N641" s="121"/>
      <c r="O641" s="121"/>
      <c r="P641" s="121"/>
      <c r="Q641" s="121"/>
      <c r="R641" s="121"/>
      <c r="S641" s="121"/>
      <c r="T641" s="121"/>
      <c r="U641" s="121"/>
      <c r="V641" s="121"/>
      <c r="W641" s="125"/>
      <c r="X641" s="121"/>
    </row>
    <row r="642" spans="1:24" x14ac:dyDescent="0.2">
      <c r="A642" s="52"/>
      <c r="B642" s="52"/>
      <c r="C642" s="21"/>
      <c r="D642" s="115"/>
      <c r="E642" s="52"/>
      <c r="F642" s="115"/>
      <c r="G642" s="52"/>
      <c r="H642" s="115"/>
      <c r="I642" s="115"/>
      <c r="J642" s="115"/>
      <c r="K642" s="52"/>
      <c r="L642" s="115"/>
      <c r="M642" s="52"/>
      <c r="N642" s="52"/>
      <c r="O642" s="52"/>
      <c r="P642" s="52"/>
      <c r="Q642" s="52"/>
      <c r="R642" s="52"/>
      <c r="S642" s="52"/>
      <c r="T642" s="52"/>
      <c r="U642" s="52"/>
      <c r="V642" s="52"/>
      <c r="W642" s="91"/>
      <c r="X642" s="91"/>
    </row>
    <row r="643" spans="1:24" ht="27.75" thickBot="1" x14ac:dyDescent="0.4">
      <c r="A643" s="126" t="s">
        <v>107</v>
      </c>
      <c r="B643" s="121"/>
      <c r="C643" s="121"/>
      <c r="D643" s="121"/>
      <c r="E643" s="121"/>
      <c r="F643" s="122"/>
      <c r="G643" s="121"/>
      <c r="H643" s="121"/>
      <c r="I643" s="121"/>
      <c r="J643" s="121"/>
      <c r="K643" s="121"/>
      <c r="L643" s="121"/>
      <c r="M643" s="121"/>
      <c r="N643" s="121"/>
      <c r="O643" s="121"/>
      <c r="P643" s="121"/>
      <c r="Q643" s="121"/>
      <c r="R643" s="121"/>
      <c r="S643" s="121"/>
      <c r="T643" s="121"/>
      <c r="U643" s="121"/>
      <c r="V643" s="121"/>
      <c r="W643" s="125"/>
      <c r="X643" s="125"/>
    </row>
    <row r="644" spans="1:24" x14ac:dyDescent="0.2">
      <c r="A644" s="174"/>
      <c r="B644" s="173"/>
      <c r="C644" s="173"/>
      <c r="D644" s="173"/>
      <c r="E644" s="173"/>
      <c r="F644" s="173"/>
      <c r="G644" s="173"/>
      <c r="H644" s="173"/>
      <c r="I644" s="173"/>
      <c r="J644" s="173"/>
      <c r="K644" s="173"/>
      <c r="L644" s="173"/>
      <c r="M644" s="173"/>
      <c r="N644" s="173"/>
      <c r="O644" s="173"/>
      <c r="P644" s="173"/>
      <c r="Q644" s="173"/>
      <c r="R644" s="173"/>
      <c r="S644" s="173"/>
      <c r="T644" s="173"/>
      <c r="U644" s="173"/>
      <c r="V644" s="173"/>
      <c r="W644" s="173"/>
      <c r="X644" s="181"/>
    </row>
    <row r="645" spans="1:24" ht="13.5" thickBot="1" x14ac:dyDescent="0.25">
      <c r="A645" s="176"/>
      <c r="B645" s="179" t="s">
        <v>112</v>
      </c>
      <c r="C645" s="177"/>
      <c r="D645" s="177"/>
      <c r="E645" s="177"/>
      <c r="F645" s="177"/>
      <c r="G645" s="177"/>
      <c r="H645" s="177"/>
      <c r="I645" s="177"/>
      <c r="J645" s="177"/>
      <c r="K645" s="177"/>
      <c r="L645" s="179" t="s">
        <v>113</v>
      </c>
      <c r="M645" s="177"/>
      <c r="N645" s="177"/>
      <c r="O645" s="177"/>
      <c r="P645" s="177"/>
      <c r="Q645" s="177"/>
      <c r="R645" s="177"/>
      <c r="S645" s="177"/>
      <c r="T645" s="177"/>
      <c r="U645" s="177"/>
      <c r="V645" s="177"/>
      <c r="W645" s="177"/>
      <c r="X645" s="182"/>
    </row>
    <row r="646" spans="1:24" x14ac:dyDescent="0.2">
      <c r="A646" s="175"/>
      <c r="B646" s="155" t="s">
        <v>11</v>
      </c>
      <c r="C646" s="155" t="s">
        <v>12</v>
      </c>
      <c r="D646" s="155" t="s">
        <v>13</v>
      </c>
      <c r="E646" s="155" t="s">
        <v>14</v>
      </c>
      <c r="F646" s="155" t="s">
        <v>15</v>
      </c>
      <c r="G646" s="193" t="s">
        <v>16</v>
      </c>
      <c r="H646" s="21"/>
      <c r="I646" s="155" t="s">
        <v>17</v>
      </c>
      <c r="J646" s="21"/>
      <c r="K646" s="21"/>
      <c r="L646" s="21"/>
      <c r="M646" s="21"/>
      <c r="N646" s="155" t="s">
        <v>18</v>
      </c>
      <c r="O646" s="155" t="s">
        <v>19</v>
      </c>
      <c r="P646" s="155" t="s">
        <v>20</v>
      </c>
      <c r="Q646" s="155" t="s">
        <v>21</v>
      </c>
      <c r="R646" s="193" t="s">
        <v>16</v>
      </c>
      <c r="S646" s="193" t="s">
        <v>114</v>
      </c>
      <c r="T646" s="209" t="s">
        <v>127</v>
      </c>
      <c r="U646" s="207" t="s">
        <v>138</v>
      </c>
      <c r="V646" s="207"/>
      <c r="W646" s="155" t="s">
        <v>7</v>
      </c>
      <c r="X646" s="194" t="s">
        <v>70</v>
      </c>
    </row>
    <row r="647" spans="1:24" ht="13.5" thickBot="1" x14ac:dyDescent="0.25">
      <c r="A647" s="176"/>
      <c r="B647" s="179" t="s">
        <v>23</v>
      </c>
      <c r="C647" s="179" t="s">
        <v>24</v>
      </c>
      <c r="D647" s="179" t="s">
        <v>25</v>
      </c>
      <c r="E647" s="179" t="s">
        <v>26</v>
      </c>
      <c r="F647" s="179" t="s">
        <v>27</v>
      </c>
      <c r="G647" s="195" t="s">
        <v>28</v>
      </c>
      <c r="H647" s="179"/>
      <c r="I647" s="179" t="s">
        <v>29</v>
      </c>
      <c r="J647" s="179" t="s">
        <v>30</v>
      </c>
      <c r="K647" s="179" t="s">
        <v>31</v>
      </c>
      <c r="L647" s="179" t="s">
        <v>32</v>
      </c>
      <c r="M647" s="179" t="s">
        <v>33</v>
      </c>
      <c r="N647" s="179" t="s">
        <v>34</v>
      </c>
      <c r="O647" s="179" t="s">
        <v>35</v>
      </c>
      <c r="P647" s="179" t="s">
        <v>36</v>
      </c>
      <c r="Q647" s="179" t="s">
        <v>37</v>
      </c>
      <c r="R647" s="195" t="s">
        <v>28</v>
      </c>
      <c r="S647" s="195" t="s">
        <v>129</v>
      </c>
      <c r="T647" s="210" t="s">
        <v>130</v>
      </c>
      <c r="U647" s="179" t="s">
        <v>139</v>
      </c>
      <c r="V647" s="179"/>
      <c r="W647" s="179" t="s">
        <v>179</v>
      </c>
      <c r="X647" s="196" t="s">
        <v>71</v>
      </c>
    </row>
    <row r="648" spans="1:24" x14ac:dyDescent="0.2">
      <c r="A648" s="175"/>
      <c r="B648" s="117"/>
      <c r="C648" s="117"/>
      <c r="D648" s="117"/>
      <c r="E648" s="117"/>
      <c r="F648" s="117"/>
      <c r="G648" s="178"/>
      <c r="H648" s="52"/>
      <c r="I648" s="117"/>
      <c r="J648" s="117"/>
      <c r="K648" s="117"/>
      <c r="L648" s="117"/>
      <c r="M648" s="117"/>
      <c r="N648" s="117"/>
      <c r="O648" s="117"/>
      <c r="P648" s="117"/>
      <c r="Q648" s="117"/>
      <c r="R648" s="178"/>
      <c r="S648" s="208"/>
      <c r="T648" s="185"/>
      <c r="U648" s="185"/>
      <c r="V648" s="185"/>
      <c r="W648" s="185"/>
      <c r="X648" s="183"/>
    </row>
    <row r="649" spans="1:24" x14ac:dyDescent="0.2">
      <c r="A649" s="191" t="s">
        <v>41</v>
      </c>
      <c r="B649" s="91">
        <v>321600</v>
      </c>
      <c r="C649" s="91">
        <v>2856000</v>
      </c>
      <c r="D649" s="91">
        <v>5436000</v>
      </c>
      <c r="E649" s="91">
        <v>3060000</v>
      </c>
      <c r="F649" s="91">
        <v>2532000</v>
      </c>
      <c r="G649" s="180">
        <f>SUM(B649:F649)</f>
        <v>14205600</v>
      </c>
      <c r="H649" s="91"/>
      <c r="I649" s="91">
        <v>1464000</v>
      </c>
      <c r="J649" s="91">
        <v>0</v>
      </c>
      <c r="K649" s="91">
        <v>1314000</v>
      </c>
      <c r="L649" s="91">
        <v>1326000</v>
      </c>
      <c r="M649" s="91">
        <v>2340000</v>
      </c>
      <c r="N649" s="91">
        <v>424000</v>
      </c>
      <c r="O649" s="91">
        <v>1350000</v>
      </c>
      <c r="P649" s="91">
        <v>3510000</v>
      </c>
      <c r="Q649" s="91">
        <v>320000</v>
      </c>
      <c r="R649" s="180">
        <f>SUM(I649:Q649)</f>
        <v>12048000</v>
      </c>
      <c r="S649" s="215">
        <v>5807090</v>
      </c>
      <c r="T649" s="86">
        <v>123120</v>
      </c>
      <c r="U649" s="91"/>
      <c r="V649" s="91"/>
      <c r="W649" s="86">
        <f>R649+G649+S649+T649</f>
        <v>32183810</v>
      </c>
      <c r="X649" s="46"/>
    </row>
    <row r="650" spans="1:24" x14ac:dyDescent="0.2">
      <c r="A650" s="191" t="s">
        <v>42</v>
      </c>
      <c r="B650" s="91">
        <f t="shared" ref="B650:G650" si="275">B636+B649-B602</f>
        <v>3057600</v>
      </c>
      <c r="C650" s="91">
        <f t="shared" si="275"/>
        <v>28838812</v>
      </c>
      <c r="D650" s="91">
        <f t="shared" si="275"/>
        <v>59605748</v>
      </c>
      <c r="E650" s="91">
        <f t="shared" si="275"/>
        <v>34101225</v>
      </c>
      <c r="F650" s="91">
        <f t="shared" si="275"/>
        <v>29304671</v>
      </c>
      <c r="G650" s="180">
        <f t="shared" si="275"/>
        <v>154908056</v>
      </c>
      <c r="H650" s="91"/>
      <c r="I650" s="91">
        <f t="shared" ref="I650:W650" si="276">I636+I649-I602</f>
        <v>29712000</v>
      </c>
      <c r="J650" s="91">
        <f t="shared" si="276"/>
        <v>3087000</v>
      </c>
      <c r="K650" s="91">
        <f t="shared" si="276"/>
        <v>17394000</v>
      </c>
      <c r="L650" s="91">
        <f t="shared" si="276"/>
        <v>17103000</v>
      </c>
      <c r="M650" s="91">
        <f t="shared" si="276"/>
        <v>26361000</v>
      </c>
      <c r="N650" s="91">
        <f t="shared" si="276"/>
        <v>2716000</v>
      </c>
      <c r="O650" s="91">
        <f t="shared" si="276"/>
        <v>10614000</v>
      </c>
      <c r="P650" s="91">
        <f t="shared" si="276"/>
        <v>38904000</v>
      </c>
      <c r="Q650" s="91">
        <f t="shared" si="276"/>
        <v>5868000</v>
      </c>
      <c r="R650" s="180">
        <f t="shared" si="276"/>
        <v>151759000</v>
      </c>
      <c r="S650" s="215">
        <f t="shared" si="276"/>
        <v>60483090</v>
      </c>
      <c r="T650" s="86">
        <f t="shared" si="276"/>
        <v>908700</v>
      </c>
      <c r="U650" s="186"/>
      <c r="V650" s="186"/>
      <c r="W650" s="186">
        <f t="shared" si="276"/>
        <v>368058846</v>
      </c>
      <c r="X650" s="46">
        <f>X636+W649</f>
        <v>6402428765</v>
      </c>
    </row>
    <row r="651" spans="1:24" x14ac:dyDescent="0.2">
      <c r="A651" s="191"/>
      <c r="B651" s="52"/>
      <c r="C651" s="52"/>
      <c r="D651" s="52"/>
      <c r="E651" s="52"/>
      <c r="F651" s="52"/>
      <c r="G651" s="180"/>
      <c r="H651" s="91"/>
      <c r="I651" s="52"/>
      <c r="J651" s="52"/>
      <c r="K651" s="52"/>
      <c r="L651" s="52"/>
      <c r="M651" s="52"/>
      <c r="N651" s="52"/>
      <c r="O651" s="52"/>
      <c r="P651" s="52"/>
      <c r="Q651" s="52"/>
      <c r="R651" s="180"/>
      <c r="S651" s="216"/>
      <c r="T651" s="217"/>
      <c r="U651" s="185"/>
      <c r="V651" s="185"/>
      <c r="W651" s="186"/>
      <c r="X651" s="46"/>
    </row>
    <row r="652" spans="1:24" x14ac:dyDescent="0.2">
      <c r="A652" s="191" t="s">
        <v>43</v>
      </c>
      <c r="B652" s="91">
        <v>326400</v>
      </c>
      <c r="C652" s="91">
        <v>2586000</v>
      </c>
      <c r="D652" s="91">
        <v>4344000</v>
      </c>
      <c r="E652" s="91">
        <v>1908000</v>
      </c>
      <c r="F652" s="91">
        <v>2454000</v>
      </c>
      <c r="G652" s="180">
        <f>SUM(B652:F652)</f>
        <v>11618400</v>
      </c>
      <c r="H652" s="91"/>
      <c r="I652" s="91">
        <v>1668000</v>
      </c>
      <c r="J652" s="91">
        <v>0</v>
      </c>
      <c r="K652" s="91">
        <v>1365000</v>
      </c>
      <c r="L652" s="91">
        <v>0</v>
      </c>
      <c r="M652" s="91">
        <v>2601000</v>
      </c>
      <c r="N652" s="91">
        <v>142000</v>
      </c>
      <c r="O652" s="91">
        <v>1377000</v>
      </c>
      <c r="P652" s="91">
        <v>1272000</v>
      </c>
      <c r="Q652" s="91">
        <v>0</v>
      </c>
      <c r="R652" s="180">
        <f>SUM(I652:Q652)</f>
        <v>8425000</v>
      </c>
      <c r="S652" s="215">
        <v>5766900</v>
      </c>
      <c r="T652" s="86">
        <v>52311</v>
      </c>
      <c r="U652" s="91"/>
      <c r="V652" s="91"/>
      <c r="W652" s="86">
        <f>R652+G652+S652+T652</f>
        <v>25862611</v>
      </c>
      <c r="X652" s="46"/>
    </row>
    <row r="653" spans="1:24" x14ac:dyDescent="0.2">
      <c r="A653" s="191" t="s">
        <v>42</v>
      </c>
      <c r="B653" s="91">
        <f t="shared" ref="B653:G653" si="277">B650+B652-B605</f>
        <v>3384000</v>
      </c>
      <c r="C653" s="91">
        <f t="shared" si="277"/>
        <v>29942812</v>
      </c>
      <c r="D653" s="91">
        <f t="shared" si="277"/>
        <v>59425748</v>
      </c>
      <c r="E653" s="91">
        <f t="shared" si="277"/>
        <v>34857225</v>
      </c>
      <c r="F653" s="91">
        <f t="shared" si="277"/>
        <v>30240671</v>
      </c>
      <c r="G653" s="180">
        <f t="shared" si="277"/>
        <v>157850456</v>
      </c>
      <c r="H653" s="91"/>
      <c r="I653" s="91">
        <f t="shared" ref="I653:W653" si="278">I650+I652-I605</f>
        <v>30024000</v>
      </c>
      <c r="J653" s="91">
        <f t="shared" si="278"/>
        <v>3087000</v>
      </c>
      <c r="K653" s="91">
        <f t="shared" si="278"/>
        <v>17616000</v>
      </c>
      <c r="L653" s="91">
        <f t="shared" si="278"/>
        <v>16020000</v>
      </c>
      <c r="M653" s="91">
        <f t="shared" si="278"/>
        <v>26397000</v>
      </c>
      <c r="N653" s="91">
        <f t="shared" si="278"/>
        <v>2858000</v>
      </c>
      <c r="O653" s="91">
        <f t="shared" si="278"/>
        <v>11991000</v>
      </c>
      <c r="P653" s="91">
        <f t="shared" si="278"/>
        <v>37152000</v>
      </c>
      <c r="Q653" s="91">
        <f t="shared" si="278"/>
        <v>5868000</v>
      </c>
      <c r="R653" s="180">
        <f t="shared" si="278"/>
        <v>151013000</v>
      </c>
      <c r="S653" s="215">
        <f t="shared" si="278"/>
        <v>62980990</v>
      </c>
      <c r="T653" s="86">
        <f t="shared" si="278"/>
        <v>961011</v>
      </c>
      <c r="U653" s="186"/>
      <c r="V653" s="186"/>
      <c r="W653" s="186">
        <f t="shared" si="278"/>
        <v>372805457</v>
      </c>
      <c r="X653" s="46">
        <f>X650+W652</f>
        <v>6428291376</v>
      </c>
    </row>
    <row r="654" spans="1:24" x14ac:dyDescent="0.2">
      <c r="A654" s="191"/>
      <c r="B654" s="91"/>
      <c r="C654" s="91"/>
      <c r="D654" s="91"/>
      <c r="E654" s="91"/>
      <c r="F654" s="91"/>
      <c r="G654" s="180"/>
      <c r="H654" s="91"/>
      <c r="I654" s="91"/>
      <c r="J654" s="91"/>
      <c r="K654" s="91"/>
      <c r="L654" s="91"/>
      <c r="M654" s="91"/>
      <c r="N654" s="91"/>
      <c r="O654" s="91"/>
      <c r="P654" s="91"/>
      <c r="Q654" s="91"/>
      <c r="R654" s="180"/>
      <c r="S654" s="216"/>
      <c r="T654" s="217"/>
      <c r="U654" s="185"/>
      <c r="V654" s="185"/>
      <c r="W654" s="186"/>
      <c r="X654" s="46"/>
    </row>
    <row r="655" spans="1:24" x14ac:dyDescent="0.2">
      <c r="A655" s="191" t="s">
        <v>44</v>
      </c>
      <c r="B655" s="91">
        <v>0</v>
      </c>
      <c r="C655" s="91">
        <v>2982000</v>
      </c>
      <c r="D655" s="91">
        <v>4728000</v>
      </c>
      <c r="E655" s="91">
        <v>0</v>
      </c>
      <c r="F655" s="91">
        <v>2172000</v>
      </c>
      <c r="G655" s="180">
        <f>SUM(B655:F655)</f>
        <v>9882000</v>
      </c>
      <c r="H655" s="91"/>
      <c r="I655" s="91">
        <v>1560000</v>
      </c>
      <c r="J655" s="91">
        <v>621000</v>
      </c>
      <c r="K655" s="91">
        <v>1872000</v>
      </c>
      <c r="L655" s="91">
        <v>429000</v>
      </c>
      <c r="M655" s="91">
        <v>2934000</v>
      </c>
      <c r="N655" s="91">
        <v>206000</v>
      </c>
      <c r="O655" s="91">
        <v>1137000</v>
      </c>
      <c r="P655" s="91">
        <v>1398000</v>
      </c>
      <c r="Q655" s="91">
        <v>0</v>
      </c>
      <c r="R655" s="180">
        <f>SUM(I655:Q655)</f>
        <v>10157000</v>
      </c>
      <c r="S655" s="215">
        <v>4372810</v>
      </c>
      <c r="T655" s="86">
        <v>32227</v>
      </c>
      <c r="U655" s="91"/>
      <c r="V655" s="91"/>
      <c r="W655" s="86">
        <f>R655+G655+S655+T655</f>
        <v>24444037</v>
      </c>
      <c r="X655" s="46"/>
    </row>
    <row r="656" spans="1:24" x14ac:dyDescent="0.2">
      <c r="A656" s="191" t="s">
        <v>42</v>
      </c>
      <c r="B656" s="91">
        <f t="shared" ref="B656:G656" si="279">B653+B655-B608</f>
        <v>3384000</v>
      </c>
      <c r="C656" s="91">
        <f t="shared" si="279"/>
        <v>31208812</v>
      </c>
      <c r="D656" s="91">
        <f t="shared" si="279"/>
        <v>59617748</v>
      </c>
      <c r="E656" s="91">
        <f t="shared" si="279"/>
        <v>33246225</v>
      </c>
      <c r="F656" s="91">
        <f t="shared" si="279"/>
        <v>30186671</v>
      </c>
      <c r="G656" s="180">
        <f t="shared" si="279"/>
        <v>157643456</v>
      </c>
      <c r="H656" s="91"/>
      <c r="I656" s="91">
        <f t="shared" ref="I656:W656" si="280">I653+I655-I608</f>
        <v>30036000</v>
      </c>
      <c r="J656" s="91">
        <f t="shared" si="280"/>
        <v>3708000</v>
      </c>
      <c r="K656" s="91">
        <f t="shared" si="280"/>
        <v>17772000</v>
      </c>
      <c r="L656" s="91">
        <f t="shared" si="280"/>
        <v>14730000</v>
      </c>
      <c r="M656" s="91">
        <f t="shared" si="280"/>
        <v>26793000</v>
      </c>
      <c r="N656" s="91">
        <f t="shared" si="280"/>
        <v>3064000</v>
      </c>
      <c r="O656" s="91">
        <f t="shared" si="280"/>
        <v>12693000</v>
      </c>
      <c r="P656" s="91">
        <f t="shared" si="280"/>
        <v>35550000</v>
      </c>
      <c r="Q656" s="91">
        <f t="shared" si="280"/>
        <v>5868000</v>
      </c>
      <c r="R656" s="180">
        <f t="shared" si="280"/>
        <v>150214000</v>
      </c>
      <c r="S656" s="215">
        <f t="shared" si="280"/>
        <v>62798800</v>
      </c>
      <c r="T656" s="86">
        <f t="shared" si="280"/>
        <v>993238</v>
      </c>
      <c r="U656" s="186"/>
      <c r="V656" s="186"/>
      <c r="W656" s="186">
        <f t="shared" si="280"/>
        <v>371649494</v>
      </c>
      <c r="X656" s="46">
        <f>X653+W655</f>
        <v>6452735413</v>
      </c>
    </row>
    <row r="657" spans="1:24" x14ac:dyDescent="0.2">
      <c r="A657" s="191"/>
      <c r="B657" s="52"/>
      <c r="C657" s="52"/>
      <c r="D657" s="52"/>
      <c r="E657" s="52"/>
      <c r="F657" s="52"/>
      <c r="G657" s="180"/>
      <c r="H657" s="91"/>
      <c r="I657" s="52"/>
      <c r="J657" s="52"/>
      <c r="K657" s="52"/>
      <c r="L657" s="52"/>
      <c r="M657" s="52"/>
      <c r="N657" s="52"/>
      <c r="O657" s="52"/>
      <c r="P657" s="52"/>
      <c r="Q657" s="52"/>
      <c r="R657" s="180"/>
      <c r="S657" s="216"/>
      <c r="T657" s="217"/>
      <c r="U657" s="185"/>
      <c r="V657" s="185"/>
      <c r="W657" s="186"/>
      <c r="X657" s="46"/>
    </row>
    <row r="658" spans="1:24" x14ac:dyDescent="0.2">
      <c r="A658" s="191" t="s">
        <v>45</v>
      </c>
      <c r="B658" s="91">
        <v>220800</v>
      </c>
      <c r="C658" s="91">
        <v>2736000</v>
      </c>
      <c r="D658" s="91">
        <v>4392000</v>
      </c>
      <c r="E658" s="91">
        <v>1863000</v>
      </c>
      <c r="F658" s="91">
        <v>324000</v>
      </c>
      <c r="G658" s="180">
        <f>SUM(B658:F658)</f>
        <v>9535800</v>
      </c>
      <c r="H658" s="91"/>
      <c r="I658" s="91">
        <v>4320000</v>
      </c>
      <c r="J658" s="91">
        <v>2745000</v>
      </c>
      <c r="K658" s="91">
        <v>1662000</v>
      </c>
      <c r="L658" s="91">
        <v>1554000</v>
      </c>
      <c r="M658" s="91">
        <v>3537000</v>
      </c>
      <c r="N658" s="91">
        <v>36000</v>
      </c>
      <c r="O658" s="91">
        <v>0</v>
      </c>
      <c r="P658" s="91">
        <v>1530000</v>
      </c>
      <c r="Q658" s="91">
        <v>0</v>
      </c>
      <c r="R658" s="180">
        <f>SUM(I658:Q658)</f>
        <v>15384000</v>
      </c>
      <c r="S658" s="215">
        <v>3282950</v>
      </c>
      <c r="T658" s="86">
        <v>0</v>
      </c>
      <c r="U658" s="86">
        <v>0</v>
      </c>
      <c r="V658" s="86"/>
      <c r="W658" s="86">
        <f>R658+G658+S658+T658</f>
        <v>28202750</v>
      </c>
      <c r="X658" s="46"/>
    </row>
    <row r="659" spans="1:24" x14ac:dyDescent="0.2">
      <c r="A659" s="191" t="s">
        <v>42</v>
      </c>
      <c r="B659" s="91">
        <f t="shared" ref="B659:G659" si="281">B656+B658-B611</f>
        <v>3604800</v>
      </c>
      <c r="C659" s="91">
        <f t="shared" si="281"/>
        <v>31214812</v>
      </c>
      <c r="D659" s="91">
        <f t="shared" si="281"/>
        <v>58549748</v>
      </c>
      <c r="E659" s="91">
        <f t="shared" si="281"/>
        <v>30933225</v>
      </c>
      <c r="F659" s="91">
        <f t="shared" si="281"/>
        <v>27552671</v>
      </c>
      <c r="G659" s="180">
        <f t="shared" si="281"/>
        <v>151855256</v>
      </c>
      <c r="H659" s="91"/>
      <c r="I659" s="91">
        <f t="shared" ref="I659:W659" si="282">I656+I658-I611</f>
        <v>30984000</v>
      </c>
      <c r="J659" s="91">
        <f t="shared" si="282"/>
        <v>6453000</v>
      </c>
      <c r="K659" s="91">
        <f t="shared" si="282"/>
        <v>17868000</v>
      </c>
      <c r="L659" s="91">
        <f t="shared" si="282"/>
        <v>14637000</v>
      </c>
      <c r="M659" s="91">
        <f t="shared" si="282"/>
        <v>29547000</v>
      </c>
      <c r="N659" s="91">
        <f t="shared" si="282"/>
        <v>3100000</v>
      </c>
      <c r="O659" s="91">
        <f t="shared" si="282"/>
        <v>12036000</v>
      </c>
      <c r="P659" s="91">
        <f t="shared" si="282"/>
        <v>33810000</v>
      </c>
      <c r="Q659" s="91">
        <f t="shared" si="282"/>
        <v>4484000</v>
      </c>
      <c r="R659" s="180">
        <f t="shared" si="282"/>
        <v>152919000</v>
      </c>
      <c r="S659" s="215">
        <f t="shared" si="282"/>
        <v>61240750</v>
      </c>
      <c r="T659" s="86">
        <f t="shared" si="282"/>
        <v>993238</v>
      </c>
      <c r="U659" s="86">
        <f t="shared" si="282"/>
        <v>0</v>
      </c>
      <c r="V659" s="186"/>
      <c r="W659" s="186">
        <f t="shared" si="282"/>
        <v>367008244</v>
      </c>
      <c r="X659" s="46">
        <f>X656+W658</f>
        <v>6480938163</v>
      </c>
    </row>
    <row r="660" spans="1:24" x14ac:dyDescent="0.2">
      <c r="A660" s="191"/>
      <c r="B660" s="52"/>
      <c r="C660" s="52"/>
      <c r="D660" s="52"/>
      <c r="E660" s="52"/>
      <c r="F660" s="52"/>
      <c r="G660" s="180"/>
      <c r="H660" s="91"/>
      <c r="I660" s="52"/>
      <c r="J660" s="52"/>
      <c r="K660" s="52"/>
      <c r="L660" s="52"/>
      <c r="M660" s="52"/>
      <c r="N660" s="52"/>
      <c r="O660" s="52"/>
      <c r="P660" s="52"/>
      <c r="Q660" s="52"/>
      <c r="R660" s="180"/>
      <c r="S660" s="215"/>
      <c r="T660" s="86"/>
      <c r="U660" s="86"/>
      <c r="V660" s="186"/>
      <c r="W660" s="186"/>
      <c r="X660" s="46"/>
    </row>
    <row r="661" spans="1:24" x14ac:dyDescent="0.2">
      <c r="A661" s="191" t="s">
        <v>46</v>
      </c>
      <c r="B661" s="91">
        <v>422400</v>
      </c>
      <c r="C661" s="91">
        <v>2406000</v>
      </c>
      <c r="D661" s="91">
        <v>5388000</v>
      </c>
      <c r="E661" s="91">
        <v>3330000</v>
      </c>
      <c r="F661" s="91">
        <v>2310000</v>
      </c>
      <c r="G661" s="180">
        <f>SUM(B661:F661)</f>
        <v>13856400</v>
      </c>
      <c r="H661" s="91"/>
      <c r="I661" s="91">
        <v>4476000</v>
      </c>
      <c r="J661" s="91">
        <v>1071000</v>
      </c>
      <c r="K661" s="91">
        <v>999000</v>
      </c>
      <c r="L661" s="91">
        <v>1185000</v>
      </c>
      <c r="M661" s="91">
        <v>3708000</v>
      </c>
      <c r="N661" s="91">
        <v>86000</v>
      </c>
      <c r="O661" s="91">
        <v>0</v>
      </c>
      <c r="P661" s="91">
        <v>1194000</v>
      </c>
      <c r="Q661" s="91">
        <v>156000</v>
      </c>
      <c r="R661" s="180">
        <f>SUM(I661:Q661)</f>
        <v>12875000</v>
      </c>
      <c r="S661" s="215">
        <v>7705420</v>
      </c>
      <c r="T661" s="86">
        <v>0</v>
      </c>
      <c r="U661" s="86">
        <v>0</v>
      </c>
      <c r="V661" s="86"/>
      <c r="W661" s="86">
        <f>R661+G661+S661+T661</f>
        <v>34436820</v>
      </c>
      <c r="X661" s="46"/>
    </row>
    <row r="662" spans="1:24" x14ac:dyDescent="0.2">
      <c r="A662" s="191" t="s">
        <v>42</v>
      </c>
      <c r="B662" s="91">
        <f t="shared" ref="B662:G662" si="283">B659+B661-B614</f>
        <v>3686400</v>
      </c>
      <c r="C662" s="91">
        <f t="shared" si="283"/>
        <v>31098000</v>
      </c>
      <c r="D662" s="91">
        <f t="shared" si="283"/>
        <v>58428000</v>
      </c>
      <c r="E662" s="91">
        <f t="shared" si="283"/>
        <v>31914000</v>
      </c>
      <c r="F662" s="91">
        <f t="shared" si="283"/>
        <v>26640000</v>
      </c>
      <c r="G662" s="180">
        <f t="shared" si="283"/>
        <v>151766400</v>
      </c>
      <c r="H662" s="91"/>
      <c r="I662" s="91">
        <f t="shared" ref="I662:W662" si="284">I659+I661-I614</f>
        <v>32280000</v>
      </c>
      <c r="J662" s="91">
        <f t="shared" si="284"/>
        <v>7524000</v>
      </c>
      <c r="K662" s="91">
        <f t="shared" si="284"/>
        <v>17586000</v>
      </c>
      <c r="L662" s="91">
        <f t="shared" si="284"/>
        <v>14925000</v>
      </c>
      <c r="M662" s="91">
        <f t="shared" si="284"/>
        <v>30141000</v>
      </c>
      <c r="N662" s="91">
        <f t="shared" si="284"/>
        <v>3186000</v>
      </c>
      <c r="O662" s="91">
        <f t="shared" si="284"/>
        <v>11145000</v>
      </c>
      <c r="P662" s="91">
        <f t="shared" si="284"/>
        <v>31602000</v>
      </c>
      <c r="Q662" s="91">
        <f t="shared" si="284"/>
        <v>4640000</v>
      </c>
      <c r="R662" s="180">
        <f t="shared" si="284"/>
        <v>153029000</v>
      </c>
      <c r="S662" s="215">
        <f t="shared" si="284"/>
        <v>62020170</v>
      </c>
      <c r="T662" s="86">
        <f t="shared" si="284"/>
        <v>903422</v>
      </c>
      <c r="U662" s="86">
        <f t="shared" si="284"/>
        <v>0</v>
      </c>
      <c r="V662" s="186"/>
      <c r="W662" s="186">
        <f t="shared" si="284"/>
        <v>367718992</v>
      </c>
      <c r="X662" s="46">
        <f>X659+W661</f>
        <v>6515374983</v>
      </c>
    </row>
    <row r="663" spans="1:24" x14ac:dyDescent="0.2">
      <c r="A663" s="191"/>
      <c r="B663" s="52"/>
      <c r="C663" s="52"/>
      <c r="D663" s="52"/>
      <c r="E663" s="52"/>
      <c r="F663" s="52"/>
      <c r="G663" s="180"/>
      <c r="H663" s="91"/>
      <c r="I663" s="52"/>
      <c r="J663" s="52"/>
      <c r="K663" s="52"/>
      <c r="L663" s="52"/>
      <c r="M663" s="52"/>
      <c r="N663" s="52"/>
      <c r="O663" s="52"/>
      <c r="P663" s="52"/>
      <c r="Q663" s="52"/>
      <c r="R663" s="180"/>
      <c r="S663" s="215"/>
      <c r="T663" s="86"/>
      <c r="U663" s="86"/>
      <c r="V663" s="186"/>
      <c r="W663" s="186"/>
      <c r="X663" s="46"/>
    </row>
    <row r="664" spans="1:24" x14ac:dyDescent="0.2">
      <c r="A664" s="191" t="s">
        <v>47</v>
      </c>
      <c r="B664" s="91">
        <v>465600</v>
      </c>
      <c r="C664" s="91">
        <v>2598000</v>
      </c>
      <c r="D664" s="91">
        <v>5436000</v>
      </c>
      <c r="E664" s="91">
        <v>4833000</v>
      </c>
      <c r="F664" s="91">
        <v>2160000</v>
      </c>
      <c r="G664" s="180">
        <f>SUM(B664:F664)</f>
        <v>15492600</v>
      </c>
      <c r="H664" s="91"/>
      <c r="I664" s="91">
        <v>4644000</v>
      </c>
      <c r="J664" s="91">
        <v>1179000</v>
      </c>
      <c r="K664" s="91">
        <v>801000</v>
      </c>
      <c r="L664" s="91">
        <v>1677000</v>
      </c>
      <c r="M664" s="91">
        <v>2979000</v>
      </c>
      <c r="N664" s="91">
        <v>242000</v>
      </c>
      <c r="O664" s="91">
        <v>477000</v>
      </c>
      <c r="P664" s="91">
        <v>2316000</v>
      </c>
      <c r="Q664" s="91">
        <v>1832000</v>
      </c>
      <c r="R664" s="180">
        <f>SUM(I664:Q664)</f>
        <v>16147000</v>
      </c>
      <c r="S664" s="215">
        <v>5458510</v>
      </c>
      <c r="T664" s="86">
        <v>0</v>
      </c>
      <c r="U664" s="86">
        <v>0</v>
      </c>
      <c r="V664" s="86"/>
      <c r="W664" s="86">
        <f>R664+G664+S664+T664</f>
        <v>37098110</v>
      </c>
      <c r="X664" s="46"/>
    </row>
    <row r="665" spans="1:24" x14ac:dyDescent="0.2">
      <c r="A665" s="191" t="s">
        <v>42</v>
      </c>
      <c r="B665" s="91">
        <f t="shared" ref="B665:G665" si="285">B662+B664-B617</f>
        <v>3720000</v>
      </c>
      <c r="C665" s="91">
        <f t="shared" si="285"/>
        <v>30468000</v>
      </c>
      <c r="D665" s="91">
        <f t="shared" si="285"/>
        <v>58236000</v>
      </c>
      <c r="E665" s="91">
        <f t="shared" si="285"/>
        <v>34362000</v>
      </c>
      <c r="F665" s="91">
        <f t="shared" si="285"/>
        <v>25530000</v>
      </c>
      <c r="G665" s="180">
        <f t="shared" si="285"/>
        <v>152316000</v>
      </c>
      <c r="H665" s="91"/>
      <c r="I665" s="91">
        <f t="shared" ref="I665:W665" si="286">I662+I664-I617</f>
        <v>32880000</v>
      </c>
      <c r="J665" s="91">
        <f t="shared" si="286"/>
        <v>8703000</v>
      </c>
      <c r="K665" s="91">
        <f t="shared" si="286"/>
        <v>16908000</v>
      </c>
      <c r="L665" s="91">
        <f t="shared" si="286"/>
        <v>15225000</v>
      </c>
      <c r="M665" s="91">
        <f t="shared" si="286"/>
        <v>29934000</v>
      </c>
      <c r="N665" s="91">
        <f t="shared" si="286"/>
        <v>3360000</v>
      </c>
      <c r="O665" s="91">
        <f t="shared" si="286"/>
        <v>10770000</v>
      </c>
      <c r="P665" s="91">
        <f t="shared" si="286"/>
        <v>30558000</v>
      </c>
      <c r="Q665" s="91">
        <f t="shared" si="286"/>
        <v>6472000</v>
      </c>
      <c r="R665" s="180">
        <f t="shared" si="286"/>
        <v>154810000</v>
      </c>
      <c r="S665" s="215">
        <f t="shared" si="286"/>
        <v>61112680</v>
      </c>
      <c r="T665" s="86">
        <f t="shared" si="286"/>
        <v>562997</v>
      </c>
      <c r="U665" s="86">
        <f t="shared" si="286"/>
        <v>0</v>
      </c>
      <c r="V665" s="186"/>
      <c r="W665" s="186">
        <f t="shared" si="286"/>
        <v>368801677</v>
      </c>
      <c r="X665" s="46">
        <f>X662+W664</f>
        <v>6552473093</v>
      </c>
    </row>
    <row r="666" spans="1:24" x14ac:dyDescent="0.2">
      <c r="A666" s="191"/>
      <c r="B666" s="52"/>
      <c r="C666" s="52"/>
      <c r="D666" s="52"/>
      <c r="E666" s="52"/>
      <c r="F666" s="52"/>
      <c r="G666" s="180"/>
      <c r="H666" s="91"/>
      <c r="I666" s="52"/>
      <c r="J666" s="52"/>
      <c r="K666" s="52"/>
      <c r="L666" s="52"/>
      <c r="M666" s="52"/>
      <c r="N666" s="52"/>
      <c r="O666" s="52"/>
      <c r="P666" s="52"/>
      <c r="Q666" s="52"/>
      <c r="R666" s="180"/>
      <c r="S666" s="215" t="s">
        <v>105</v>
      </c>
      <c r="T666" s="86"/>
      <c r="U666" s="86"/>
      <c r="V666" s="186"/>
      <c r="W666" s="186"/>
      <c r="X666" s="46"/>
    </row>
    <row r="667" spans="1:24" x14ac:dyDescent="0.2">
      <c r="A667" s="191" t="s">
        <v>48</v>
      </c>
      <c r="B667" s="91">
        <v>432000</v>
      </c>
      <c r="C667" s="91">
        <v>2370000</v>
      </c>
      <c r="D667" s="91">
        <v>5580000</v>
      </c>
      <c r="E667" s="91">
        <v>5067000</v>
      </c>
      <c r="F667" s="91">
        <v>1728000</v>
      </c>
      <c r="G667" s="180">
        <f>SUM(B667:F667)</f>
        <v>15177000</v>
      </c>
      <c r="H667" s="91"/>
      <c r="I667" s="91">
        <v>4884000</v>
      </c>
      <c r="J667" s="91">
        <v>2160000</v>
      </c>
      <c r="K667" s="91">
        <v>1101000</v>
      </c>
      <c r="L667" s="91">
        <v>1347000</v>
      </c>
      <c r="M667" s="91">
        <v>2925000</v>
      </c>
      <c r="N667" s="91">
        <v>638000</v>
      </c>
      <c r="O667" s="91">
        <v>927000</v>
      </c>
      <c r="P667" s="91">
        <v>3456000</v>
      </c>
      <c r="Q667" s="91">
        <v>2120000</v>
      </c>
      <c r="R667" s="180">
        <f>SUM(I667:Q667)</f>
        <v>19558000</v>
      </c>
      <c r="S667" s="215">
        <v>9126660</v>
      </c>
      <c r="T667" s="86">
        <v>0</v>
      </c>
      <c r="U667" s="86">
        <v>496660</v>
      </c>
      <c r="V667" s="86"/>
      <c r="W667" s="86">
        <f>R667+G667+S667+T667</f>
        <v>43861660</v>
      </c>
      <c r="X667" s="46"/>
    </row>
    <row r="668" spans="1:24" x14ac:dyDescent="0.2">
      <c r="A668" s="191" t="s">
        <v>42</v>
      </c>
      <c r="B668" s="91">
        <f t="shared" ref="B668:G668" si="287">B665+B667-B620</f>
        <v>3590400</v>
      </c>
      <c r="C668" s="91">
        <f t="shared" si="287"/>
        <v>29742000</v>
      </c>
      <c r="D668" s="91">
        <f t="shared" si="287"/>
        <v>58524000</v>
      </c>
      <c r="E668" s="91">
        <f t="shared" si="287"/>
        <v>37296000</v>
      </c>
      <c r="F668" s="91">
        <f t="shared" si="287"/>
        <v>25080000</v>
      </c>
      <c r="G668" s="180">
        <f t="shared" si="287"/>
        <v>154232400</v>
      </c>
      <c r="H668" s="91"/>
      <c r="I668" s="91">
        <f t="shared" ref="I668:W668" si="288">I665+I667-I620</f>
        <v>33996000</v>
      </c>
      <c r="J668" s="91">
        <f t="shared" si="288"/>
        <v>10116000</v>
      </c>
      <c r="K668" s="91">
        <f t="shared" si="288"/>
        <v>16248000</v>
      </c>
      <c r="L668" s="91">
        <f t="shared" si="288"/>
        <v>14730000</v>
      </c>
      <c r="M668" s="91">
        <f t="shared" si="288"/>
        <v>30168000</v>
      </c>
      <c r="N668" s="91">
        <f t="shared" si="288"/>
        <v>3458000</v>
      </c>
      <c r="O668" s="91">
        <f t="shared" si="288"/>
        <v>10674000</v>
      </c>
      <c r="P668" s="91">
        <f t="shared" si="288"/>
        <v>30606000</v>
      </c>
      <c r="Q668" s="91">
        <f t="shared" si="288"/>
        <v>8592000</v>
      </c>
      <c r="R668" s="180">
        <f t="shared" si="288"/>
        <v>158588000</v>
      </c>
      <c r="S668" s="215">
        <f t="shared" si="288"/>
        <v>64506340</v>
      </c>
      <c r="T668" s="86">
        <f t="shared" si="288"/>
        <v>560770</v>
      </c>
      <c r="U668" s="86">
        <f t="shared" si="288"/>
        <v>496660</v>
      </c>
      <c r="V668" s="186"/>
      <c r="W668" s="186">
        <f t="shared" si="288"/>
        <v>377887510</v>
      </c>
      <c r="X668" s="46">
        <f>X665+W667</f>
        <v>6596334753</v>
      </c>
    </row>
    <row r="669" spans="1:24" x14ac:dyDescent="0.2">
      <c r="A669" s="191"/>
      <c r="B669" s="52"/>
      <c r="C669" s="52"/>
      <c r="D669" s="52"/>
      <c r="E669" s="52"/>
      <c r="F669" s="52"/>
      <c r="G669" s="180"/>
      <c r="H669" s="91"/>
      <c r="I669" s="52"/>
      <c r="J669" s="52"/>
      <c r="K669" s="52"/>
      <c r="L669" s="52"/>
      <c r="M669" s="52"/>
      <c r="N669" s="52"/>
      <c r="O669" s="52"/>
      <c r="P669" s="52"/>
      <c r="Q669" s="52"/>
      <c r="R669" s="180"/>
      <c r="S669" s="215"/>
      <c r="T669" s="86"/>
      <c r="U669" s="86"/>
      <c r="V669" s="186"/>
      <c r="W669" s="186"/>
      <c r="X669" s="46"/>
    </row>
    <row r="670" spans="1:24" x14ac:dyDescent="0.2">
      <c r="A670" s="191" t="s">
        <v>49</v>
      </c>
      <c r="B670" s="91">
        <v>427200</v>
      </c>
      <c r="C670" s="91">
        <v>2172000</v>
      </c>
      <c r="D670" s="91">
        <v>6288000</v>
      </c>
      <c r="E670" s="91">
        <v>5697000</v>
      </c>
      <c r="F670" s="91">
        <v>1860000</v>
      </c>
      <c r="G670" s="180">
        <f>SUM(B670:F670)</f>
        <v>16444200</v>
      </c>
      <c r="H670" s="91"/>
      <c r="I670" s="91">
        <v>3876000</v>
      </c>
      <c r="J670" s="91">
        <v>0</v>
      </c>
      <c r="K670" s="91">
        <v>1164110</v>
      </c>
      <c r="L670" s="91">
        <v>1398945</v>
      </c>
      <c r="M670" s="91">
        <v>3240721</v>
      </c>
      <c r="N670" s="91">
        <v>557824</v>
      </c>
      <c r="O670" s="91">
        <v>993163</v>
      </c>
      <c r="P670" s="91">
        <v>3487144</v>
      </c>
      <c r="Q670" s="91">
        <v>1942004</v>
      </c>
      <c r="R670" s="180">
        <f>SUM(I670:Q670)</f>
        <v>16659911</v>
      </c>
      <c r="S670" s="215">
        <v>9559350</v>
      </c>
      <c r="T670" s="86">
        <v>1817973</v>
      </c>
      <c r="U670" s="86">
        <v>371350</v>
      </c>
      <c r="V670" s="86"/>
      <c r="W670" s="86">
        <f>R670+G670+S670+T670</f>
        <v>44481434</v>
      </c>
      <c r="X670" s="46"/>
    </row>
    <row r="671" spans="1:24" x14ac:dyDescent="0.2">
      <c r="A671" s="191" t="s">
        <v>42</v>
      </c>
      <c r="B671" s="91">
        <f t="shared" ref="B671:G671" si="289">B668+B670-B623</f>
        <v>3643200</v>
      </c>
      <c r="C671" s="91">
        <f t="shared" si="289"/>
        <v>29562000</v>
      </c>
      <c r="D671" s="91">
        <f t="shared" si="289"/>
        <v>59856000</v>
      </c>
      <c r="E671" s="91">
        <f t="shared" si="289"/>
        <v>40914000</v>
      </c>
      <c r="F671" s="91">
        <f t="shared" si="289"/>
        <v>24720000</v>
      </c>
      <c r="G671" s="180">
        <f t="shared" si="289"/>
        <v>158695200</v>
      </c>
      <c r="H671" s="91"/>
      <c r="I671" s="91">
        <f t="shared" ref="I671:W671" si="290">I668+I670-I623</f>
        <v>35352000</v>
      </c>
      <c r="J671" s="91">
        <f t="shared" si="290"/>
        <v>9081000</v>
      </c>
      <c r="K671" s="91">
        <f t="shared" si="290"/>
        <v>15900110</v>
      </c>
      <c r="L671" s="91">
        <f t="shared" si="290"/>
        <v>14541945</v>
      </c>
      <c r="M671" s="91">
        <f t="shared" si="290"/>
        <v>31122721</v>
      </c>
      <c r="N671" s="91">
        <f t="shared" si="290"/>
        <v>3413824</v>
      </c>
      <c r="O671" s="91">
        <f t="shared" si="290"/>
        <v>10422163</v>
      </c>
      <c r="P671" s="91">
        <f t="shared" si="290"/>
        <v>30601144</v>
      </c>
      <c r="Q671" s="91">
        <f t="shared" si="290"/>
        <v>10374004</v>
      </c>
      <c r="R671" s="180">
        <f t="shared" si="290"/>
        <v>160808911</v>
      </c>
      <c r="S671" s="215">
        <f t="shared" si="290"/>
        <v>68835690</v>
      </c>
      <c r="T671" s="86">
        <f t="shared" si="290"/>
        <v>2378743</v>
      </c>
      <c r="U671" s="86">
        <f t="shared" si="290"/>
        <v>868010</v>
      </c>
      <c r="V671" s="186"/>
      <c r="W671" s="186">
        <f t="shared" si="290"/>
        <v>390718544</v>
      </c>
      <c r="X671" s="46">
        <f>X668+W670</f>
        <v>6640816187</v>
      </c>
    </row>
    <row r="672" spans="1:24" x14ac:dyDescent="0.2">
      <c r="A672" s="191"/>
      <c r="B672" s="52"/>
      <c r="C672" s="52"/>
      <c r="D672" s="52"/>
      <c r="E672" s="52"/>
      <c r="F672" s="52"/>
      <c r="G672" s="180"/>
      <c r="H672" s="91"/>
      <c r="I672" s="52"/>
      <c r="J672" s="52"/>
      <c r="K672" s="52"/>
      <c r="L672" s="52"/>
      <c r="M672" s="52"/>
      <c r="N672" s="52"/>
      <c r="O672" s="52"/>
      <c r="P672" s="52"/>
      <c r="Q672" s="52"/>
      <c r="R672" s="180"/>
      <c r="S672" s="215"/>
      <c r="T672" s="86"/>
      <c r="U672" s="86"/>
      <c r="V672" s="186"/>
      <c r="W672" s="186"/>
      <c r="X672" s="46"/>
    </row>
    <row r="673" spans="1:24" x14ac:dyDescent="0.2">
      <c r="A673" s="191" t="s">
        <v>50</v>
      </c>
      <c r="B673" s="91">
        <v>451200</v>
      </c>
      <c r="C673" s="91">
        <v>2544000</v>
      </c>
      <c r="D673" s="91">
        <v>6096000</v>
      </c>
      <c r="E673" s="91">
        <v>6228000</v>
      </c>
      <c r="F673" s="91">
        <v>1332000</v>
      </c>
      <c r="G673" s="180">
        <f>SUM(B673:F673)</f>
        <v>16651200</v>
      </c>
      <c r="H673" s="91"/>
      <c r="I673" s="91">
        <v>3000000</v>
      </c>
      <c r="J673" s="91">
        <v>0</v>
      </c>
      <c r="K673" s="91">
        <v>1710000</v>
      </c>
      <c r="L673" s="91">
        <v>1704000</v>
      </c>
      <c r="M673" s="91">
        <v>3276000</v>
      </c>
      <c r="N673" s="91">
        <v>558000</v>
      </c>
      <c r="O673" s="91">
        <v>1017000</v>
      </c>
      <c r="P673" s="91">
        <v>3318000</v>
      </c>
      <c r="Q673" s="91">
        <v>704000</v>
      </c>
      <c r="R673" s="180">
        <f>SUM(I673:Q673)</f>
        <v>15287000</v>
      </c>
      <c r="S673" s="215">
        <v>9882230</v>
      </c>
      <c r="T673" s="86">
        <v>1063233</v>
      </c>
      <c r="U673" s="86">
        <v>420226</v>
      </c>
      <c r="V673" s="86"/>
      <c r="W673" s="86">
        <f>R673+G673+S673+T673</f>
        <v>42883663</v>
      </c>
      <c r="X673" s="46"/>
    </row>
    <row r="674" spans="1:24" x14ac:dyDescent="0.2">
      <c r="A674" s="191" t="s">
        <v>42</v>
      </c>
      <c r="B674" s="91">
        <f t="shared" ref="B674:G674" si="291">B671+B673-B626</f>
        <v>3537600</v>
      </c>
      <c r="C674" s="91">
        <f t="shared" si="291"/>
        <v>29586000</v>
      </c>
      <c r="D674" s="91">
        <f t="shared" si="291"/>
        <v>60192000</v>
      </c>
      <c r="E674" s="91">
        <f t="shared" si="291"/>
        <v>46647000</v>
      </c>
      <c r="F674" s="91">
        <f t="shared" si="291"/>
        <v>24060000</v>
      </c>
      <c r="G674" s="180">
        <f t="shared" si="291"/>
        <v>164022600</v>
      </c>
      <c r="H674" s="91"/>
      <c r="I674" s="91">
        <f t="shared" ref="I674:W674" si="292">I671+I673-I626</f>
        <v>34836000</v>
      </c>
      <c r="J674" s="91">
        <f t="shared" si="292"/>
        <v>8235000</v>
      </c>
      <c r="K674" s="91">
        <f t="shared" si="292"/>
        <v>15891110</v>
      </c>
      <c r="L674" s="91">
        <f t="shared" si="292"/>
        <v>14817945</v>
      </c>
      <c r="M674" s="91">
        <f t="shared" si="292"/>
        <v>31455721</v>
      </c>
      <c r="N674" s="91">
        <f t="shared" si="292"/>
        <v>3457824</v>
      </c>
      <c r="O674" s="91">
        <f t="shared" si="292"/>
        <v>10533163</v>
      </c>
      <c r="P674" s="91">
        <f t="shared" si="292"/>
        <v>30559144</v>
      </c>
      <c r="Q674" s="91">
        <f t="shared" si="292"/>
        <v>11078004</v>
      </c>
      <c r="R674" s="180">
        <f t="shared" si="292"/>
        <v>160863911</v>
      </c>
      <c r="S674" s="215">
        <f t="shared" si="292"/>
        <v>73819920</v>
      </c>
      <c r="T674" s="86">
        <f t="shared" si="292"/>
        <v>3441762</v>
      </c>
      <c r="U674" s="86">
        <f t="shared" si="292"/>
        <v>1288236</v>
      </c>
      <c r="V674" s="186"/>
      <c r="W674" s="186">
        <f t="shared" si="292"/>
        <v>402148193</v>
      </c>
      <c r="X674" s="46">
        <f>X671+W673</f>
        <v>6683699850</v>
      </c>
    </row>
    <row r="675" spans="1:24" x14ac:dyDescent="0.2">
      <c r="A675" s="191"/>
      <c r="B675" s="52"/>
      <c r="C675" s="52"/>
      <c r="D675" s="52"/>
      <c r="E675" s="52"/>
      <c r="F675" s="52"/>
      <c r="G675" s="180"/>
      <c r="H675" s="91"/>
      <c r="I675" s="52"/>
      <c r="J675" s="52"/>
      <c r="K675" s="52"/>
      <c r="L675" s="52"/>
      <c r="M675" s="52"/>
      <c r="N675" s="52"/>
      <c r="O675" s="52"/>
      <c r="P675" s="52"/>
      <c r="Q675" s="52"/>
      <c r="R675" s="180"/>
      <c r="S675" s="215"/>
      <c r="T675" s="86"/>
      <c r="U675" s="86"/>
      <c r="V675" s="186"/>
      <c r="W675" s="186"/>
      <c r="X675" s="46"/>
    </row>
    <row r="676" spans="1:24" x14ac:dyDescent="0.2">
      <c r="A676" s="191" t="s">
        <v>51</v>
      </c>
      <c r="B676" s="91">
        <v>412800</v>
      </c>
      <c r="C676" s="91">
        <v>2256000</v>
      </c>
      <c r="D676" s="91">
        <v>5208000</v>
      </c>
      <c r="E676" s="91">
        <v>4203000</v>
      </c>
      <c r="F676" s="91">
        <v>1914000</v>
      </c>
      <c r="G676" s="180">
        <f>SUM(B676:F676)</f>
        <v>13993800</v>
      </c>
      <c r="H676" s="91"/>
      <c r="I676" s="91">
        <v>4620000</v>
      </c>
      <c r="J676" s="91">
        <v>2628000</v>
      </c>
      <c r="K676" s="91">
        <v>1518000</v>
      </c>
      <c r="L676" s="91">
        <v>1647000</v>
      </c>
      <c r="M676" s="91">
        <v>3510000</v>
      </c>
      <c r="N676" s="91">
        <v>0</v>
      </c>
      <c r="O676" s="91">
        <v>1002000</v>
      </c>
      <c r="P676" s="91">
        <v>2184000</v>
      </c>
      <c r="Q676" s="91">
        <v>704000</v>
      </c>
      <c r="R676" s="180">
        <f>SUM(I676:Q676)</f>
        <v>17813000</v>
      </c>
      <c r="S676" s="215">
        <v>6440160</v>
      </c>
      <c r="T676" s="86">
        <v>4052711</v>
      </c>
      <c r="U676" s="86">
        <v>347160</v>
      </c>
      <c r="V676" s="86"/>
      <c r="W676" s="86">
        <f>R676+G676+S676+T676</f>
        <v>42299671</v>
      </c>
      <c r="X676" s="46"/>
    </row>
    <row r="677" spans="1:24" x14ac:dyDescent="0.2">
      <c r="A677" s="191" t="s">
        <v>42</v>
      </c>
      <c r="B677" s="91">
        <f t="shared" ref="B677:G677" si="293">B674+B676-B629</f>
        <v>3480000</v>
      </c>
      <c r="C677" s="91">
        <f t="shared" si="293"/>
        <v>30726000</v>
      </c>
      <c r="D677" s="91">
        <f t="shared" si="293"/>
        <v>61068000</v>
      </c>
      <c r="E677" s="91">
        <f t="shared" si="293"/>
        <v>45810000</v>
      </c>
      <c r="F677" s="91">
        <f t="shared" si="293"/>
        <v>23640000</v>
      </c>
      <c r="G677" s="180">
        <f t="shared" si="293"/>
        <v>164724000</v>
      </c>
      <c r="H677" s="91"/>
      <c r="I677" s="91">
        <f t="shared" ref="I677:W677" si="294">I674+I676-I629</f>
        <v>36000000</v>
      </c>
      <c r="J677" s="91">
        <f t="shared" si="294"/>
        <v>10404000</v>
      </c>
      <c r="K677" s="91">
        <f t="shared" si="294"/>
        <v>16305110</v>
      </c>
      <c r="L677" s="91">
        <f t="shared" si="294"/>
        <v>15156945</v>
      </c>
      <c r="M677" s="91">
        <f t="shared" si="294"/>
        <v>32751721</v>
      </c>
      <c r="N677" s="91">
        <f t="shared" si="294"/>
        <v>3089824</v>
      </c>
      <c r="O677" s="91">
        <f t="shared" si="294"/>
        <v>10455163</v>
      </c>
      <c r="P677" s="91">
        <f t="shared" si="294"/>
        <v>29251144</v>
      </c>
      <c r="Q677" s="91">
        <f t="shared" si="294"/>
        <v>9686004</v>
      </c>
      <c r="R677" s="180">
        <f t="shared" si="294"/>
        <v>163099911</v>
      </c>
      <c r="S677" s="215">
        <f t="shared" si="294"/>
        <v>75821080</v>
      </c>
      <c r="T677" s="86">
        <f t="shared" si="294"/>
        <v>7351698</v>
      </c>
      <c r="U677" s="86">
        <f t="shared" si="294"/>
        <v>1635396</v>
      </c>
      <c r="V677" s="186"/>
      <c r="W677" s="186">
        <f t="shared" si="294"/>
        <v>410996689</v>
      </c>
      <c r="X677" s="46">
        <f>X674+W676</f>
        <v>6725999521</v>
      </c>
    </row>
    <row r="678" spans="1:24" x14ac:dyDescent="0.2">
      <c r="A678" s="191"/>
      <c r="B678" s="52"/>
      <c r="C678" s="52"/>
      <c r="D678" s="52"/>
      <c r="E678" s="52"/>
      <c r="F678" s="52"/>
      <c r="G678" s="180"/>
      <c r="H678" s="91"/>
      <c r="I678" s="52"/>
      <c r="J678" s="52"/>
      <c r="K678" s="52"/>
      <c r="L678" s="52"/>
      <c r="M678" s="52"/>
      <c r="N678" s="52"/>
      <c r="O678" s="52"/>
      <c r="P678" s="52"/>
      <c r="Q678" s="52"/>
      <c r="R678" s="180"/>
      <c r="S678" s="215"/>
      <c r="T678" s="86"/>
      <c r="U678" s="86"/>
      <c r="V678" s="186"/>
      <c r="W678" s="186"/>
      <c r="X678" s="46"/>
    </row>
    <row r="679" spans="1:24" x14ac:dyDescent="0.2">
      <c r="A679" s="191" t="s">
        <v>52</v>
      </c>
      <c r="B679" s="91">
        <v>43200</v>
      </c>
      <c r="C679" s="91">
        <v>1458043</v>
      </c>
      <c r="D679" s="91">
        <v>4752000</v>
      </c>
      <c r="E679" s="91">
        <v>4944052</v>
      </c>
      <c r="F679" s="91">
        <v>2742692</v>
      </c>
      <c r="G679" s="180">
        <f>SUM(B679:F679)</f>
        <v>13939987</v>
      </c>
      <c r="H679" s="91"/>
      <c r="I679" s="91">
        <v>1716000</v>
      </c>
      <c r="J679" s="91">
        <v>0</v>
      </c>
      <c r="K679" s="91">
        <v>1491000</v>
      </c>
      <c r="L679" s="91">
        <v>1599000</v>
      </c>
      <c r="M679" s="91">
        <v>2484000</v>
      </c>
      <c r="N679" s="91">
        <v>30000</v>
      </c>
      <c r="O679" s="91">
        <v>1161000</v>
      </c>
      <c r="P679" s="91">
        <v>2850000</v>
      </c>
      <c r="Q679" s="91">
        <v>908000</v>
      </c>
      <c r="R679" s="180">
        <f>SUM(I679:Q679)</f>
        <v>12239000</v>
      </c>
      <c r="S679" s="215">
        <v>5826350</v>
      </c>
      <c r="T679" s="86">
        <v>5612</v>
      </c>
      <c r="U679" s="86">
        <v>335354</v>
      </c>
      <c r="V679" s="86"/>
      <c r="W679" s="86">
        <f>R679+G679+S679+T679</f>
        <v>32010949</v>
      </c>
      <c r="X679" s="46"/>
    </row>
    <row r="680" spans="1:24" x14ac:dyDescent="0.2">
      <c r="A680" s="191" t="s">
        <v>42</v>
      </c>
      <c r="B680" s="91">
        <f t="shared" ref="B680:G680" si="295">B677+B679-B632</f>
        <v>3523200</v>
      </c>
      <c r="C680" s="91">
        <f t="shared" si="295"/>
        <v>29928043</v>
      </c>
      <c r="D680" s="91">
        <f t="shared" si="295"/>
        <v>63348000</v>
      </c>
      <c r="E680" s="91">
        <f t="shared" si="295"/>
        <v>45246052</v>
      </c>
      <c r="F680" s="91">
        <f t="shared" si="295"/>
        <v>24066692</v>
      </c>
      <c r="G680" s="180">
        <f t="shared" si="295"/>
        <v>166111987</v>
      </c>
      <c r="H680" s="91"/>
      <c r="I680" s="91">
        <f t="shared" ref="I680:W680" si="296">I677+I679-I632</f>
        <v>36384000</v>
      </c>
      <c r="J680" s="91">
        <f t="shared" si="296"/>
        <v>10404000</v>
      </c>
      <c r="K680" s="91">
        <f t="shared" si="296"/>
        <v>16494110</v>
      </c>
      <c r="L680" s="91">
        <f t="shared" si="296"/>
        <v>15312945</v>
      </c>
      <c r="M680" s="91">
        <f t="shared" si="296"/>
        <v>33534721</v>
      </c>
      <c r="N680" s="91">
        <f t="shared" si="296"/>
        <v>2919824</v>
      </c>
      <c r="O680" s="91">
        <f t="shared" si="296"/>
        <v>10494163</v>
      </c>
      <c r="P680" s="91">
        <f t="shared" si="296"/>
        <v>28705144</v>
      </c>
      <c r="Q680" s="91">
        <f t="shared" si="296"/>
        <v>8686004</v>
      </c>
      <c r="R680" s="180">
        <f t="shared" si="296"/>
        <v>162934911</v>
      </c>
      <c r="S680" s="215">
        <f t="shared" si="296"/>
        <v>77864430</v>
      </c>
      <c r="T680" s="86">
        <f t="shared" si="296"/>
        <v>7293756</v>
      </c>
      <c r="U680" s="86">
        <f t="shared" si="296"/>
        <v>1970750</v>
      </c>
      <c r="V680" s="186"/>
      <c r="W680" s="186">
        <f t="shared" si="296"/>
        <v>414205084</v>
      </c>
      <c r="X680" s="46">
        <f>X677+W679</f>
        <v>6758010470</v>
      </c>
    </row>
    <row r="681" spans="1:24" x14ac:dyDescent="0.2">
      <c r="A681" s="191"/>
      <c r="B681" s="52"/>
      <c r="C681" s="52"/>
      <c r="D681" s="52"/>
      <c r="E681" s="52"/>
      <c r="F681" s="52"/>
      <c r="G681" s="180"/>
      <c r="H681" s="91"/>
      <c r="I681" s="52"/>
      <c r="J681" s="52"/>
      <c r="K681" s="52"/>
      <c r="L681" s="52"/>
      <c r="M681" s="52"/>
      <c r="N681" s="52"/>
      <c r="O681" s="52"/>
      <c r="P681" s="52"/>
      <c r="Q681" s="52"/>
      <c r="R681" s="180"/>
      <c r="S681" s="215"/>
      <c r="T681" s="86"/>
      <c r="U681" s="86"/>
      <c r="V681" s="186"/>
      <c r="W681" s="186"/>
      <c r="X681" s="46"/>
    </row>
    <row r="682" spans="1:24" x14ac:dyDescent="0.2">
      <c r="A682" s="191" t="s">
        <v>53</v>
      </c>
      <c r="B682" s="91">
        <v>0</v>
      </c>
      <c r="C682" s="91">
        <v>126000</v>
      </c>
      <c r="D682" s="91">
        <f>5628000+2083.337</f>
        <v>5630083.3370000003</v>
      </c>
      <c r="E682" s="91">
        <v>4131000</v>
      </c>
      <c r="F682" s="91">
        <v>1008000</v>
      </c>
      <c r="G682" s="180">
        <f>SUM(B682:F682)</f>
        <v>10895083.337000001</v>
      </c>
      <c r="H682" s="91"/>
      <c r="I682" s="91">
        <v>2016000</v>
      </c>
      <c r="J682" s="91">
        <v>0</v>
      </c>
      <c r="K682" s="91">
        <v>1233000</v>
      </c>
      <c r="L682" s="91">
        <v>1449000</v>
      </c>
      <c r="M682" s="91">
        <v>3312000</v>
      </c>
      <c r="N682" s="91">
        <v>0</v>
      </c>
      <c r="O682" s="91">
        <v>459000</v>
      </c>
      <c r="P682" s="91">
        <v>3564000</v>
      </c>
      <c r="Q682" s="91">
        <v>0</v>
      </c>
      <c r="R682" s="180">
        <f>SUM(I682:Q682)</f>
        <v>12033000</v>
      </c>
      <c r="S682" s="215">
        <v>4378390</v>
      </c>
      <c r="T682" s="86">
        <v>1448</v>
      </c>
      <c r="U682" s="86">
        <v>204390</v>
      </c>
      <c r="V682" s="86"/>
      <c r="W682" s="86">
        <f>R682+G682+S682+T682</f>
        <v>27307921.337000001</v>
      </c>
      <c r="X682" s="46"/>
    </row>
    <row r="683" spans="1:24" ht="13.5" thickBot="1" x14ac:dyDescent="0.25">
      <c r="A683" s="192" t="s">
        <v>42</v>
      </c>
      <c r="B683" s="187">
        <f t="shared" ref="B683:G683" si="297">B680+B682-B635</f>
        <v>3523200</v>
      </c>
      <c r="C683" s="187">
        <f t="shared" si="297"/>
        <v>27090043</v>
      </c>
      <c r="D683" s="187">
        <f t="shared" si="297"/>
        <v>63278083.336999997</v>
      </c>
      <c r="E683" s="187">
        <f t="shared" si="297"/>
        <v>45264052</v>
      </c>
      <c r="F683" s="187">
        <f t="shared" si="297"/>
        <v>22536692</v>
      </c>
      <c r="G683" s="188">
        <f t="shared" si="297"/>
        <v>161692070.33700001</v>
      </c>
      <c r="H683" s="187"/>
      <c r="I683" s="187">
        <f t="shared" ref="I683:W683" si="298">I680+I682-I635</f>
        <v>38244000</v>
      </c>
      <c r="J683" s="187">
        <f t="shared" si="298"/>
        <v>10404000</v>
      </c>
      <c r="K683" s="187">
        <f t="shared" si="298"/>
        <v>16230110</v>
      </c>
      <c r="L683" s="187">
        <f t="shared" si="298"/>
        <v>15315945</v>
      </c>
      <c r="M683" s="187">
        <f t="shared" si="298"/>
        <v>36846721</v>
      </c>
      <c r="N683" s="187">
        <f t="shared" si="298"/>
        <v>2919824</v>
      </c>
      <c r="O683" s="187">
        <f t="shared" si="298"/>
        <v>9900163</v>
      </c>
      <c r="P683" s="187">
        <f t="shared" si="298"/>
        <v>30079144</v>
      </c>
      <c r="Q683" s="187">
        <f t="shared" si="298"/>
        <v>8686004</v>
      </c>
      <c r="R683" s="188">
        <f t="shared" si="298"/>
        <v>168625911</v>
      </c>
      <c r="S683" s="188">
        <f t="shared" si="298"/>
        <v>77606820</v>
      </c>
      <c r="T683" s="212">
        <f t="shared" si="298"/>
        <v>7148635</v>
      </c>
      <c r="U683" s="212">
        <f t="shared" si="298"/>
        <v>2175140</v>
      </c>
      <c r="V683" s="189"/>
      <c r="W683" s="189">
        <f t="shared" si="298"/>
        <v>415073436.33700001</v>
      </c>
      <c r="X683" s="190">
        <f>X680+W682</f>
        <v>6785318391.3369999</v>
      </c>
    </row>
    <row r="684" spans="1:24" x14ac:dyDescent="0.2">
      <c r="A684" s="211" t="s">
        <v>128</v>
      </c>
    </row>
    <row r="685" spans="1:24" x14ac:dyDescent="0.2">
      <c r="A685" s="211" t="s">
        <v>180</v>
      </c>
      <c r="P685" t="s">
        <v>190</v>
      </c>
    </row>
    <row r="686" spans="1:24" x14ac:dyDescent="0.2">
      <c r="P686" t="s">
        <v>122</v>
      </c>
    </row>
    <row r="688" spans="1:24" ht="27" x14ac:dyDescent="0.35">
      <c r="A688" s="126" t="s">
        <v>133</v>
      </c>
      <c r="B688" s="121"/>
      <c r="C688" s="121"/>
      <c r="D688" s="122"/>
      <c r="E688" s="121"/>
      <c r="F688" s="121"/>
      <c r="G688" s="121"/>
      <c r="H688" s="121"/>
      <c r="I688" s="121"/>
      <c r="J688" s="121"/>
      <c r="K688" s="121"/>
      <c r="L688" s="123"/>
      <c r="M688" s="124"/>
      <c r="N688" s="121"/>
      <c r="O688" s="121"/>
      <c r="P688" s="121"/>
      <c r="Q688" s="121"/>
      <c r="R688" s="121"/>
      <c r="S688" s="121"/>
      <c r="T688" s="121"/>
      <c r="U688" s="121"/>
      <c r="V688" s="121"/>
      <c r="W688" s="125"/>
      <c r="X688" s="121"/>
    </row>
    <row r="689" spans="1:24" x14ac:dyDescent="0.2">
      <c r="A689" s="52"/>
      <c r="B689" s="52"/>
      <c r="C689" s="21"/>
      <c r="D689" s="115"/>
      <c r="E689" s="52"/>
      <c r="F689" s="115"/>
      <c r="G689" s="52"/>
      <c r="H689" s="115"/>
      <c r="I689" s="115"/>
      <c r="J689" s="115"/>
      <c r="K689" s="52"/>
      <c r="L689" s="115"/>
      <c r="M689" s="52"/>
      <c r="N689" s="52"/>
      <c r="O689" s="52"/>
      <c r="P689" s="52"/>
      <c r="Q689" s="52"/>
      <c r="R689" s="52"/>
      <c r="S689" s="52"/>
      <c r="T689" s="52"/>
      <c r="U689" s="52"/>
      <c r="V689" s="52"/>
      <c r="W689" s="91"/>
      <c r="X689" s="91"/>
    </row>
    <row r="690" spans="1:24" ht="27.75" thickBot="1" x14ac:dyDescent="0.4">
      <c r="A690" s="126" t="s">
        <v>107</v>
      </c>
      <c r="B690" s="121"/>
      <c r="C690" s="121"/>
      <c r="D690" s="121"/>
      <c r="E690" s="121"/>
      <c r="F690" s="122"/>
      <c r="G690" s="121"/>
      <c r="H690" s="121"/>
      <c r="I690" s="121"/>
      <c r="J690" s="121"/>
      <c r="K690" s="121"/>
      <c r="L690" s="121"/>
      <c r="M690" s="121"/>
      <c r="N690" s="121"/>
      <c r="O690" s="121"/>
      <c r="P690" s="121"/>
      <c r="Q690" s="121"/>
      <c r="R690" s="121"/>
      <c r="S690" s="121"/>
      <c r="T690" s="121"/>
      <c r="U690" s="121"/>
      <c r="V690" s="121"/>
      <c r="W690" s="125"/>
      <c r="X690" s="125"/>
    </row>
    <row r="691" spans="1:24" x14ac:dyDescent="0.2">
      <c r="A691" s="174"/>
      <c r="B691" s="173"/>
      <c r="C691" s="173"/>
      <c r="D691" s="173"/>
      <c r="E691" s="173"/>
      <c r="F691" s="173"/>
      <c r="G691" s="173"/>
      <c r="H691" s="173"/>
      <c r="I691" s="173"/>
      <c r="J691" s="173"/>
      <c r="K691" s="173"/>
      <c r="L691" s="173"/>
      <c r="M691" s="173"/>
      <c r="N691" s="173"/>
      <c r="O691" s="173"/>
      <c r="P691" s="173"/>
      <c r="Q691" s="173"/>
      <c r="R691" s="173"/>
      <c r="S691" s="173"/>
      <c r="T691" s="173"/>
      <c r="U691" s="173"/>
      <c r="V691" s="173"/>
      <c r="W691" s="173"/>
      <c r="X691" s="181"/>
    </row>
    <row r="692" spans="1:24" ht="13.5" thickBot="1" x14ac:dyDescent="0.25">
      <c r="A692" s="176"/>
      <c r="B692" s="179" t="s">
        <v>112</v>
      </c>
      <c r="C692" s="177"/>
      <c r="D692" s="177"/>
      <c r="E692" s="177"/>
      <c r="F692" s="177"/>
      <c r="G692" s="177"/>
      <c r="H692" s="177"/>
      <c r="I692" s="177"/>
      <c r="J692" s="177"/>
      <c r="K692" s="177"/>
      <c r="L692" s="179" t="s">
        <v>113</v>
      </c>
      <c r="M692" s="177"/>
      <c r="N692" s="177"/>
      <c r="O692" s="177"/>
      <c r="P692" s="177"/>
      <c r="Q692" s="177"/>
      <c r="R692" s="177"/>
      <c r="S692" s="177"/>
      <c r="T692" s="177"/>
      <c r="U692" s="177"/>
      <c r="V692" s="177"/>
      <c r="W692" s="177"/>
      <c r="X692" s="182"/>
    </row>
    <row r="693" spans="1:24" x14ac:dyDescent="0.2">
      <c r="A693" s="175"/>
      <c r="B693" s="155" t="s">
        <v>11</v>
      </c>
      <c r="C693" s="155" t="s">
        <v>12</v>
      </c>
      <c r="D693" s="155" t="s">
        <v>13</v>
      </c>
      <c r="E693" s="155" t="s">
        <v>14</v>
      </c>
      <c r="F693" s="155" t="s">
        <v>15</v>
      </c>
      <c r="G693" s="193" t="s">
        <v>16</v>
      </c>
      <c r="H693" s="21"/>
      <c r="I693" s="155" t="s">
        <v>17</v>
      </c>
      <c r="J693" s="21"/>
      <c r="K693" s="21"/>
      <c r="L693" s="21"/>
      <c r="M693" s="21"/>
      <c r="N693" s="155" t="s">
        <v>18</v>
      </c>
      <c r="O693" s="155" t="s">
        <v>19</v>
      </c>
      <c r="P693" s="155" t="s">
        <v>20</v>
      </c>
      <c r="Q693" s="155" t="s">
        <v>21</v>
      </c>
      <c r="R693" s="193" t="s">
        <v>16</v>
      </c>
      <c r="S693" s="193" t="s">
        <v>114</v>
      </c>
      <c r="T693" s="209" t="s">
        <v>127</v>
      </c>
      <c r="U693" s="221" t="s">
        <v>138</v>
      </c>
      <c r="V693" s="221" t="s">
        <v>136</v>
      </c>
      <c r="W693" s="155" t="s">
        <v>7</v>
      </c>
      <c r="X693" s="194" t="s">
        <v>70</v>
      </c>
    </row>
    <row r="694" spans="1:24" ht="13.5" thickBot="1" x14ac:dyDescent="0.25">
      <c r="A694" s="176"/>
      <c r="B694" s="179" t="s">
        <v>23</v>
      </c>
      <c r="C694" s="179" t="s">
        <v>24</v>
      </c>
      <c r="D694" s="179" t="s">
        <v>25</v>
      </c>
      <c r="E694" s="179" t="s">
        <v>26</v>
      </c>
      <c r="F694" s="179" t="s">
        <v>27</v>
      </c>
      <c r="G694" s="195" t="s">
        <v>28</v>
      </c>
      <c r="H694" s="179"/>
      <c r="I694" s="179" t="s">
        <v>29</v>
      </c>
      <c r="J694" s="179" t="s">
        <v>30</v>
      </c>
      <c r="K694" s="179" t="s">
        <v>31</v>
      </c>
      <c r="L694" s="179" t="s">
        <v>32</v>
      </c>
      <c r="M694" s="179" t="s">
        <v>33</v>
      </c>
      <c r="N694" s="179" t="s">
        <v>34</v>
      </c>
      <c r="O694" s="179" t="s">
        <v>35</v>
      </c>
      <c r="P694" s="179" t="s">
        <v>36</v>
      </c>
      <c r="Q694" s="179" t="s">
        <v>37</v>
      </c>
      <c r="R694" s="195" t="s">
        <v>28</v>
      </c>
      <c r="S694" s="195" t="s">
        <v>129</v>
      </c>
      <c r="T694" s="210" t="s">
        <v>130</v>
      </c>
      <c r="U694" s="222" t="s">
        <v>139</v>
      </c>
      <c r="V694" s="222" t="s">
        <v>143</v>
      </c>
      <c r="W694" s="179" t="s">
        <v>181</v>
      </c>
      <c r="X694" s="196" t="s">
        <v>71</v>
      </c>
    </row>
    <row r="695" spans="1:24" x14ac:dyDescent="0.2">
      <c r="A695" s="175"/>
      <c r="B695" s="117"/>
      <c r="C695" s="117"/>
      <c r="D695" s="117"/>
      <c r="E695" s="117"/>
      <c r="F695" s="117"/>
      <c r="G695" s="178"/>
      <c r="H695" s="52"/>
      <c r="I695" s="117"/>
      <c r="J695" s="117"/>
      <c r="K695" s="117"/>
      <c r="L695" s="117"/>
      <c r="M695" s="117"/>
      <c r="N695" s="117"/>
      <c r="O695" s="117"/>
      <c r="P695" s="117"/>
      <c r="Q695" s="117"/>
      <c r="R695" s="178"/>
      <c r="S695" s="208"/>
      <c r="T695" s="185"/>
      <c r="U695" s="185"/>
      <c r="V695" s="185"/>
      <c r="W695" s="185"/>
      <c r="X695" s="183"/>
    </row>
    <row r="696" spans="1:24" x14ac:dyDescent="0.2">
      <c r="A696" s="191" t="s">
        <v>41</v>
      </c>
      <c r="B696" s="91">
        <v>0</v>
      </c>
      <c r="C696" s="91">
        <v>0</v>
      </c>
      <c r="D696" s="91">
        <v>5688000</v>
      </c>
      <c r="E696" s="91">
        <v>3735000</v>
      </c>
      <c r="F696" s="91">
        <v>1656000</v>
      </c>
      <c r="G696" s="180">
        <f>SUM(B696:F696)</f>
        <v>11079000</v>
      </c>
      <c r="H696" s="91"/>
      <c r="I696" s="91">
        <v>2436000</v>
      </c>
      <c r="J696" s="91">
        <v>0</v>
      </c>
      <c r="K696" s="91">
        <v>1428000</v>
      </c>
      <c r="L696" s="91">
        <v>918000</v>
      </c>
      <c r="M696" s="91">
        <v>549000</v>
      </c>
      <c r="N696" s="91">
        <v>358000</v>
      </c>
      <c r="O696" s="91">
        <v>246000</v>
      </c>
      <c r="P696" s="91">
        <v>3198000</v>
      </c>
      <c r="Q696" s="91">
        <v>0</v>
      </c>
      <c r="R696" s="180">
        <f>SUM(I696:Q696)</f>
        <v>9133000</v>
      </c>
      <c r="S696" s="180">
        <v>7477070</v>
      </c>
      <c r="T696" s="91">
        <v>463.13</v>
      </c>
      <c r="U696" s="86">
        <v>451070</v>
      </c>
      <c r="V696" s="186">
        <v>0</v>
      </c>
      <c r="W696" s="186">
        <f>R696+G696+S696+T696</f>
        <v>27689533.129999999</v>
      </c>
      <c r="X696" s="46"/>
    </row>
    <row r="697" spans="1:24" x14ac:dyDescent="0.2">
      <c r="A697" s="191" t="s">
        <v>42</v>
      </c>
      <c r="B697" s="91">
        <f t="shared" ref="B697:G697" si="299">B683+B696-B649</f>
        <v>3201600</v>
      </c>
      <c r="C697" s="91">
        <f t="shared" si="299"/>
        <v>24234043</v>
      </c>
      <c r="D697" s="91">
        <f t="shared" si="299"/>
        <v>63530083.336999997</v>
      </c>
      <c r="E697" s="91">
        <f t="shared" si="299"/>
        <v>45939052</v>
      </c>
      <c r="F697" s="91">
        <f t="shared" si="299"/>
        <v>21660692</v>
      </c>
      <c r="G697" s="180">
        <f t="shared" si="299"/>
        <v>158565470.33700001</v>
      </c>
      <c r="H697" s="91"/>
      <c r="I697" s="91">
        <f t="shared" ref="I697:W697" si="300">I683+I696-I649</f>
        <v>39216000</v>
      </c>
      <c r="J697" s="91">
        <f t="shared" si="300"/>
        <v>10404000</v>
      </c>
      <c r="K697" s="91">
        <f t="shared" si="300"/>
        <v>16344110</v>
      </c>
      <c r="L697" s="91">
        <f t="shared" si="300"/>
        <v>14907945</v>
      </c>
      <c r="M697" s="91">
        <f t="shared" si="300"/>
        <v>35055721</v>
      </c>
      <c r="N697" s="91">
        <f t="shared" si="300"/>
        <v>2853824</v>
      </c>
      <c r="O697" s="91">
        <f t="shared" si="300"/>
        <v>8796163</v>
      </c>
      <c r="P697" s="91">
        <f t="shared" si="300"/>
        <v>29767144</v>
      </c>
      <c r="Q697" s="91">
        <f t="shared" si="300"/>
        <v>8366004</v>
      </c>
      <c r="R697" s="180">
        <f t="shared" si="300"/>
        <v>165710911</v>
      </c>
      <c r="S697" s="180">
        <f t="shared" si="300"/>
        <v>79276800</v>
      </c>
      <c r="T697" s="215">
        <f t="shared" si="300"/>
        <v>7025978.1299999999</v>
      </c>
      <c r="U697" s="86">
        <f t="shared" si="300"/>
        <v>2626210</v>
      </c>
      <c r="V697" s="186">
        <f>V696</f>
        <v>0</v>
      </c>
      <c r="W697" s="186">
        <f t="shared" si="300"/>
        <v>410579159.46700001</v>
      </c>
      <c r="X697" s="46">
        <f>X683+W696</f>
        <v>6813007924.467</v>
      </c>
    </row>
    <row r="698" spans="1:24" x14ac:dyDescent="0.2">
      <c r="A698" s="191"/>
      <c r="B698" s="52"/>
      <c r="C698" s="52"/>
      <c r="D698" s="52"/>
      <c r="E698" s="52"/>
      <c r="F698" s="52"/>
      <c r="G698" s="180"/>
      <c r="H698" s="91"/>
      <c r="I698" s="52"/>
      <c r="J698" s="52"/>
      <c r="K698" s="52"/>
      <c r="L698" s="52"/>
      <c r="M698" s="52"/>
      <c r="N698" s="52"/>
      <c r="O698" s="52"/>
      <c r="P698" s="52"/>
      <c r="Q698" s="52"/>
      <c r="R698" s="180"/>
      <c r="S698" s="178"/>
      <c r="T698" s="218"/>
      <c r="U698" s="217"/>
      <c r="V698" s="185"/>
      <c r="W698" s="186"/>
      <c r="X698" s="46"/>
    </row>
    <row r="699" spans="1:24" x14ac:dyDescent="0.2">
      <c r="A699" s="191" t="s">
        <v>43</v>
      </c>
      <c r="B699" s="91">
        <v>0</v>
      </c>
      <c r="C699" s="91">
        <v>0</v>
      </c>
      <c r="D699" s="91">
        <v>4512000</v>
      </c>
      <c r="E699" s="91">
        <v>3591000</v>
      </c>
      <c r="F699" s="91">
        <v>2664000</v>
      </c>
      <c r="G699" s="180">
        <f>SUM(B699:F699)</f>
        <v>10767000</v>
      </c>
      <c r="H699" s="91"/>
      <c r="I699" s="91">
        <v>3432000</v>
      </c>
      <c r="J699" s="91">
        <v>198000</v>
      </c>
      <c r="K699" s="91">
        <v>0</v>
      </c>
      <c r="L699" s="91">
        <v>0</v>
      </c>
      <c r="M699" s="91">
        <v>0</v>
      </c>
      <c r="N699" s="91">
        <v>370000</v>
      </c>
      <c r="O699" s="91">
        <v>0</v>
      </c>
      <c r="P699" s="91">
        <v>3090000</v>
      </c>
      <c r="Q699" s="91">
        <v>0</v>
      </c>
      <c r="R699" s="180">
        <f>SUM(I699:Q699)</f>
        <v>7090000</v>
      </c>
      <c r="S699" s="180">
        <v>9480250</v>
      </c>
      <c r="T699" s="91">
        <v>5144990</v>
      </c>
      <c r="U699" s="86">
        <v>672250</v>
      </c>
      <c r="V699" s="186">
        <v>0</v>
      </c>
      <c r="W699" s="186">
        <f>R699+G699+S699+T699</f>
        <v>32482240</v>
      </c>
      <c r="X699" s="46"/>
    </row>
    <row r="700" spans="1:24" x14ac:dyDescent="0.2">
      <c r="A700" s="191" t="s">
        <v>42</v>
      </c>
      <c r="B700" s="91">
        <f t="shared" ref="B700:G700" si="301">B697+B699-B652</f>
        <v>2875200</v>
      </c>
      <c r="C700" s="91">
        <f t="shared" si="301"/>
        <v>21648043</v>
      </c>
      <c r="D700" s="91">
        <f t="shared" si="301"/>
        <v>63698083.336999997</v>
      </c>
      <c r="E700" s="91">
        <f t="shared" si="301"/>
        <v>47622052</v>
      </c>
      <c r="F700" s="91">
        <f t="shared" si="301"/>
        <v>21870692</v>
      </c>
      <c r="G700" s="180">
        <f t="shared" si="301"/>
        <v>157714070.33700001</v>
      </c>
      <c r="H700" s="91"/>
      <c r="I700" s="91">
        <f t="shared" ref="I700:W700" si="302">I697+I699-I652</f>
        <v>40980000</v>
      </c>
      <c r="J700" s="91">
        <f t="shared" si="302"/>
        <v>10602000</v>
      </c>
      <c r="K700" s="91">
        <f t="shared" si="302"/>
        <v>14979110</v>
      </c>
      <c r="L700" s="91">
        <f t="shared" si="302"/>
        <v>14907945</v>
      </c>
      <c r="M700" s="91">
        <f t="shared" si="302"/>
        <v>32454721</v>
      </c>
      <c r="N700" s="91">
        <f t="shared" si="302"/>
        <v>3081824</v>
      </c>
      <c r="O700" s="91">
        <f t="shared" si="302"/>
        <v>7419163</v>
      </c>
      <c r="P700" s="91">
        <f t="shared" si="302"/>
        <v>31585144</v>
      </c>
      <c r="Q700" s="91">
        <f t="shared" si="302"/>
        <v>8366004</v>
      </c>
      <c r="R700" s="180">
        <f t="shared" si="302"/>
        <v>164375911</v>
      </c>
      <c r="S700" s="180">
        <f t="shared" si="302"/>
        <v>82990150</v>
      </c>
      <c r="T700" s="215">
        <f t="shared" si="302"/>
        <v>12118657.129999999</v>
      </c>
      <c r="U700" s="86">
        <f t="shared" si="302"/>
        <v>3298460</v>
      </c>
      <c r="V700" s="86">
        <f t="shared" si="302"/>
        <v>0</v>
      </c>
      <c r="W700" s="186">
        <f t="shared" si="302"/>
        <v>417198788.46700001</v>
      </c>
      <c r="X700" s="46">
        <f>X697+W699</f>
        <v>6845490164.467</v>
      </c>
    </row>
    <row r="701" spans="1:24" x14ac:dyDescent="0.2">
      <c r="A701" s="191"/>
      <c r="B701" s="91"/>
      <c r="C701" s="91"/>
      <c r="D701" s="91"/>
      <c r="E701" s="91"/>
      <c r="F701" s="91"/>
      <c r="G701" s="180"/>
      <c r="H701" s="91"/>
      <c r="I701" s="91"/>
      <c r="J701" s="91"/>
      <c r="K701" s="91"/>
      <c r="L701" s="91"/>
      <c r="M701" s="91"/>
      <c r="N701" s="91"/>
      <c r="O701" s="91"/>
      <c r="P701" s="91"/>
      <c r="Q701" s="91"/>
      <c r="R701" s="180"/>
      <c r="S701" s="178"/>
      <c r="T701" s="218"/>
      <c r="U701" s="217"/>
      <c r="V701" s="185"/>
      <c r="W701" s="186"/>
      <c r="X701" s="46"/>
    </row>
    <row r="702" spans="1:24" x14ac:dyDescent="0.2">
      <c r="A702" s="191" t="s">
        <v>44</v>
      </c>
      <c r="B702" s="91">
        <v>0</v>
      </c>
      <c r="C702" s="91">
        <v>0</v>
      </c>
      <c r="D702" s="91">
        <v>5280000</v>
      </c>
      <c r="E702" s="91">
        <v>6102000</v>
      </c>
      <c r="F702" s="91">
        <v>3246000</v>
      </c>
      <c r="G702" s="180">
        <f>SUM(B702:F702)</f>
        <v>14628000</v>
      </c>
      <c r="H702" s="91"/>
      <c r="I702" s="91">
        <v>3768000</v>
      </c>
      <c r="J702" s="91">
        <v>0</v>
      </c>
      <c r="K702" s="91">
        <v>0</v>
      </c>
      <c r="L702" s="91">
        <v>0</v>
      </c>
      <c r="M702" s="91">
        <f>8370000*0+171000</f>
        <v>171000</v>
      </c>
      <c r="N702" s="91">
        <v>202000</v>
      </c>
      <c r="O702" s="91">
        <v>0</v>
      </c>
      <c r="P702" s="91">
        <v>3156000</v>
      </c>
      <c r="Q702" s="91">
        <v>0</v>
      </c>
      <c r="R702" s="180">
        <f>SUM(I702:Q702)</f>
        <v>7297000</v>
      </c>
      <c r="S702" s="180">
        <v>10523080</v>
      </c>
      <c r="T702" s="91">
        <v>6651635</v>
      </c>
      <c r="U702" s="86">
        <v>1261080</v>
      </c>
      <c r="V702" s="186">
        <v>731000</v>
      </c>
      <c r="W702" s="186">
        <f>R702+G702+S702+T702</f>
        <v>39099715</v>
      </c>
      <c r="X702" s="46"/>
    </row>
    <row r="703" spans="1:24" x14ac:dyDescent="0.2">
      <c r="A703" s="191" t="s">
        <v>42</v>
      </c>
      <c r="B703" s="91">
        <f t="shared" ref="B703:G703" si="303">B700+B702-B655</f>
        <v>2875200</v>
      </c>
      <c r="C703" s="91">
        <f t="shared" si="303"/>
        <v>18666043</v>
      </c>
      <c r="D703" s="91">
        <f t="shared" si="303"/>
        <v>64250083.336999997</v>
      </c>
      <c r="E703" s="91">
        <f t="shared" si="303"/>
        <v>53724052</v>
      </c>
      <c r="F703" s="91">
        <f t="shared" si="303"/>
        <v>22944692</v>
      </c>
      <c r="G703" s="180">
        <f t="shared" si="303"/>
        <v>162460070.33700001</v>
      </c>
      <c r="H703" s="91"/>
      <c r="I703" s="91">
        <f t="shared" ref="I703:W703" si="304">I700+I702-I655</f>
        <v>43188000</v>
      </c>
      <c r="J703" s="91">
        <f t="shared" si="304"/>
        <v>9981000</v>
      </c>
      <c r="K703" s="91">
        <f t="shared" si="304"/>
        <v>13107110</v>
      </c>
      <c r="L703" s="91">
        <f t="shared" si="304"/>
        <v>14478945</v>
      </c>
      <c r="M703" s="91">
        <f t="shared" si="304"/>
        <v>29691721</v>
      </c>
      <c r="N703" s="91">
        <f t="shared" si="304"/>
        <v>3077824</v>
      </c>
      <c r="O703" s="91">
        <f t="shared" si="304"/>
        <v>6282163</v>
      </c>
      <c r="P703" s="91">
        <f t="shared" si="304"/>
        <v>33343144</v>
      </c>
      <c r="Q703" s="91">
        <f t="shared" si="304"/>
        <v>8366004</v>
      </c>
      <c r="R703" s="180">
        <f t="shared" si="304"/>
        <v>161515911</v>
      </c>
      <c r="S703" s="180">
        <f t="shared" si="304"/>
        <v>89140420</v>
      </c>
      <c r="T703" s="215">
        <f t="shared" si="304"/>
        <v>18738065.129999999</v>
      </c>
      <c r="U703" s="86">
        <f t="shared" si="304"/>
        <v>4559540</v>
      </c>
      <c r="V703" s="86">
        <f>0+V700+V702</f>
        <v>731000</v>
      </c>
      <c r="W703" s="186">
        <f t="shared" si="304"/>
        <v>431854466.46700001</v>
      </c>
      <c r="X703" s="46">
        <f>X700+W702</f>
        <v>6884589879.467</v>
      </c>
    </row>
    <row r="704" spans="1:24" x14ac:dyDescent="0.2">
      <c r="A704" s="191"/>
      <c r="B704" s="52"/>
      <c r="C704" s="52"/>
      <c r="D704" s="52"/>
      <c r="E704" s="52"/>
      <c r="F704" s="52"/>
      <c r="G704" s="180"/>
      <c r="H704" s="91"/>
      <c r="I704" s="52"/>
      <c r="J704" s="52"/>
      <c r="K704" s="52"/>
      <c r="L704" s="52"/>
      <c r="M704" s="52"/>
      <c r="N704" s="52"/>
      <c r="O704" s="52"/>
      <c r="P704" s="52"/>
      <c r="Q704" s="52"/>
      <c r="R704" s="180"/>
      <c r="S704" s="178"/>
      <c r="T704" s="218"/>
      <c r="U704" s="217"/>
      <c r="V704" s="185"/>
      <c r="W704" s="186"/>
      <c r="X704" s="46"/>
    </row>
    <row r="705" spans="1:26" x14ac:dyDescent="0.2">
      <c r="A705" s="191" t="s">
        <v>45</v>
      </c>
      <c r="B705" s="91">
        <v>0</v>
      </c>
      <c r="C705" s="91">
        <v>0</v>
      </c>
      <c r="D705" s="91">
        <v>5052000</v>
      </c>
      <c r="E705" s="91">
        <v>5850000</v>
      </c>
      <c r="F705" s="91">
        <v>2844000</v>
      </c>
      <c r="G705" s="180">
        <f>SUM(B705:F705)</f>
        <v>13746000</v>
      </c>
      <c r="H705" s="91"/>
      <c r="I705" s="91">
        <v>4392000</v>
      </c>
      <c r="J705" s="91">
        <v>567000</v>
      </c>
      <c r="K705" s="91">
        <v>873000</v>
      </c>
      <c r="L705" s="91">
        <v>1302000</v>
      </c>
      <c r="M705" s="91">
        <f>2862000*0+1971000</f>
        <v>1971000</v>
      </c>
      <c r="N705" s="91">
        <v>488000</v>
      </c>
      <c r="O705" s="91">
        <v>0</v>
      </c>
      <c r="P705" s="91">
        <v>1566000</v>
      </c>
      <c r="Q705" s="91">
        <v>0</v>
      </c>
      <c r="R705" s="180">
        <f>SUM(I705:Q705)</f>
        <v>11159000</v>
      </c>
      <c r="S705" s="180">
        <v>4168430</v>
      </c>
      <c r="T705" s="91">
        <v>7442781</v>
      </c>
      <c r="U705" s="86">
        <v>272430</v>
      </c>
      <c r="V705" s="186">
        <v>0</v>
      </c>
      <c r="W705" s="186">
        <f>R705+G705+S705+T705</f>
        <v>36516211</v>
      </c>
      <c r="X705" s="46"/>
    </row>
    <row r="706" spans="1:26" x14ac:dyDescent="0.2">
      <c r="A706" s="191" t="s">
        <v>42</v>
      </c>
      <c r="B706" s="91">
        <f t="shared" ref="B706:G706" si="305">B703+B705-B658</f>
        <v>2654400</v>
      </c>
      <c r="C706" s="91">
        <f t="shared" si="305"/>
        <v>15930043</v>
      </c>
      <c r="D706" s="91">
        <f t="shared" si="305"/>
        <v>64910083.336999997</v>
      </c>
      <c r="E706" s="91">
        <f t="shared" si="305"/>
        <v>57711052</v>
      </c>
      <c r="F706" s="91">
        <f t="shared" si="305"/>
        <v>25464692</v>
      </c>
      <c r="G706" s="180">
        <f t="shared" si="305"/>
        <v>166670270.33700001</v>
      </c>
      <c r="H706" s="91"/>
      <c r="I706" s="91">
        <f t="shared" ref="I706:W706" si="306">I703+I705-I658</f>
        <v>43260000</v>
      </c>
      <c r="J706" s="91">
        <f t="shared" si="306"/>
        <v>7803000</v>
      </c>
      <c r="K706" s="91">
        <f t="shared" si="306"/>
        <v>12318110</v>
      </c>
      <c r="L706" s="91">
        <f t="shared" si="306"/>
        <v>14226945</v>
      </c>
      <c r="M706" s="91">
        <f t="shared" si="306"/>
        <v>28125721</v>
      </c>
      <c r="N706" s="91">
        <f t="shared" si="306"/>
        <v>3529824</v>
      </c>
      <c r="O706" s="91">
        <f t="shared" si="306"/>
        <v>6282163</v>
      </c>
      <c r="P706" s="91">
        <f t="shared" si="306"/>
        <v>33379144</v>
      </c>
      <c r="Q706" s="91">
        <f t="shared" si="306"/>
        <v>8366004</v>
      </c>
      <c r="R706" s="180">
        <f t="shared" si="306"/>
        <v>157290911</v>
      </c>
      <c r="S706" s="180">
        <f t="shared" si="306"/>
        <v>90025900</v>
      </c>
      <c r="T706" s="215">
        <f t="shared" si="306"/>
        <v>26180846.129999999</v>
      </c>
      <c r="U706" s="86">
        <f t="shared" si="306"/>
        <v>4831970</v>
      </c>
      <c r="V706" s="86">
        <f t="shared" si="306"/>
        <v>731000</v>
      </c>
      <c r="W706" s="186">
        <f t="shared" si="306"/>
        <v>440167927.46700001</v>
      </c>
      <c r="X706" s="46">
        <f>X703+W705</f>
        <v>6921106090.467</v>
      </c>
    </row>
    <row r="707" spans="1:26" x14ac:dyDescent="0.2">
      <c r="A707" s="191"/>
      <c r="B707" s="52"/>
      <c r="C707" s="52"/>
      <c r="D707" s="52"/>
      <c r="E707" s="52"/>
      <c r="F707" s="52"/>
      <c r="G707" s="180"/>
      <c r="H707" s="91"/>
      <c r="I707" s="52"/>
      <c r="J707" s="52"/>
      <c r="K707" s="52"/>
      <c r="L707" s="52"/>
      <c r="M707" s="52"/>
      <c r="N707" s="52"/>
      <c r="O707" s="52"/>
      <c r="P707" s="52"/>
      <c r="Q707" s="52"/>
      <c r="R707" s="180"/>
      <c r="S707" s="180"/>
      <c r="T707" s="44"/>
      <c r="U707" s="86"/>
      <c r="V707" s="186"/>
      <c r="W707" s="186"/>
      <c r="X707" s="46"/>
    </row>
    <row r="708" spans="1:26" x14ac:dyDescent="0.2">
      <c r="A708" s="191" t="s">
        <v>46</v>
      </c>
      <c r="B708" s="91">
        <v>43200</v>
      </c>
      <c r="C708" s="91">
        <v>120000</v>
      </c>
      <c r="D708" s="91">
        <v>5808000</v>
      </c>
      <c r="E708" s="91">
        <v>6318000</v>
      </c>
      <c r="F708" s="91">
        <v>3132000</v>
      </c>
      <c r="G708" s="180">
        <f>SUM(B708:F708)</f>
        <v>15421200</v>
      </c>
      <c r="H708" s="91"/>
      <c r="I708" s="91">
        <v>1680000</v>
      </c>
      <c r="J708" s="91">
        <v>441000</v>
      </c>
      <c r="K708" s="91">
        <v>171000</v>
      </c>
      <c r="L708" s="91">
        <v>6000</v>
      </c>
      <c r="M708" s="91">
        <v>2907000</v>
      </c>
      <c r="N708" s="91">
        <v>528000</v>
      </c>
      <c r="O708" s="91">
        <v>0</v>
      </c>
      <c r="P708" s="91">
        <v>3534000</v>
      </c>
      <c r="Q708" s="91">
        <v>0</v>
      </c>
      <c r="R708" s="180">
        <f>SUM(I708:Q708)</f>
        <v>9267000</v>
      </c>
      <c r="S708" s="180">
        <v>6496420</v>
      </c>
      <c r="T708" s="91">
        <v>5433315</v>
      </c>
      <c r="U708" s="86">
        <v>314420</v>
      </c>
      <c r="V708" s="186">
        <v>869000</v>
      </c>
      <c r="W708" s="186">
        <f>R708+G708+S708+T708</f>
        <v>36617935</v>
      </c>
      <c r="X708" s="46"/>
    </row>
    <row r="709" spans="1:26" x14ac:dyDescent="0.2">
      <c r="A709" s="191" t="s">
        <v>42</v>
      </c>
      <c r="B709" s="91">
        <f t="shared" ref="B709:G709" si="307">B706+B708-B661</f>
        <v>2275200</v>
      </c>
      <c r="C709" s="91">
        <f t="shared" si="307"/>
        <v>13644043</v>
      </c>
      <c r="D709" s="91">
        <f t="shared" si="307"/>
        <v>65330083.336999997</v>
      </c>
      <c r="E709" s="91">
        <f t="shared" si="307"/>
        <v>60699052</v>
      </c>
      <c r="F709" s="91">
        <f t="shared" si="307"/>
        <v>26286692</v>
      </c>
      <c r="G709" s="180">
        <f t="shared" si="307"/>
        <v>168235070.33700001</v>
      </c>
      <c r="H709" s="91"/>
      <c r="I709" s="91">
        <f t="shared" ref="I709:W709" si="308">I706+I708-I661</f>
        <v>40464000</v>
      </c>
      <c r="J709" s="91">
        <f t="shared" si="308"/>
        <v>7173000</v>
      </c>
      <c r="K709" s="91">
        <f t="shared" si="308"/>
        <v>11490110</v>
      </c>
      <c r="L709" s="91">
        <f t="shared" si="308"/>
        <v>13047945</v>
      </c>
      <c r="M709" s="91">
        <f t="shared" si="308"/>
        <v>27324721</v>
      </c>
      <c r="N709" s="91">
        <f t="shared" si="308"/>
        <v>3971824</v>
      </c>
      <c r="O709" s="91">
        <f t="shared" si="308"/>
        <v>6282163</v>
      </c>
      <c r="P709" s="91">
        <f t="shared" si="308"/>
        <v>35719144</v>
      </c>
      <c r="Q709" s="91">
        <f t="shared" si="308"/>
        <v>8210004</v>
      </c>
      <c r="R709" s="180">
        <f t="shared" si="308"/>
        <v>153682911</v>
      </c>
      <c r="S709" s="180">
        <f t="shared" si="308"/>
        <v>88816900</v>
      </c>
      <c r="T709" s="215">
        <f t="shared" si="308"/>
        <v>31614161.129999999</v>
      </c>
      <c r="U709" s="86">
        <f t="shared" si="308"/>
        <v>5146390</v>
      </c>
      <c r="V709" s="86">
        <f>V706+V708</f>
        <v>1600000</v>
      </c>
      <c r="W709" s="186">
        <f t="shared" si="308"/>
        <v>442349042.46700001</v>
      </c>
      <c r="X709" s="46">
        <f>X706+W708</f>
        <v>6957724025.467</v>
      </c>
    </row>
    <row r="710" spans="1:26" x14ac:dyDescent="0.2">
      <c r="A710" s="191"/>
      <c r="B710" s="52"/>
      <c r="C710" s="52"/>
      <c r="D710" s="52"/>
      <c r="E710" s="52"/>
      <c r="F710" s="52"/>
      <c r="G710" s="180"/>
      <c r="H710" s="91"/>
      <c r="I710" s="52"/>
      <c r="J710" s="52"/>
      <c r="K710" s="52"/>
      <c r="L710" s="52"/>
      <c r="M710" s="52"/>
      <c r="N710" s="52"/>
      <c r="O710" s="52"/>
      <c r="P710" s="52"/>
      <c r="Q710" s="52"/>
      <c r="R710" s="180"/>
      <c r="S710" s="180"/>
      <c r="T710" s="44"/>
      <c r="U710" s="86"/>
      <c r="V710" s="186"/>
      <c r="W710" s="186"/>
      <c r="X710" s="46"/>
    </row>
    <row r="711" spans="1:26" x14ac:dyDescent="0.2">
      <c r="A711" s="191" t="s">
        <v>47</v>
      </c>
      <c r="B711" s="91">
        <v>388800</v>
      </c>
      <c r="C711" s="91">
        <v>372000</v>
      </c>
      <c r="D711" s="91">
        <v>5904000</v>
      </c>
      <c r="E711" s="91">
        <v>5508000</v>
      </c>
      <c r="F711" s="91">
        <v>2376000</v>
      </c>
      <c r="G711" s="180">
        <f>SUM(B711:F711)</f>
        <v>14548800</v>
      </c>
      <c r="H711" s="91"/>
      <c r="I711" s="91">
        <v>5472000</v>
      </c>
      <c r="J711" s="91">
        <v>3474000</v>
      </c>
      <c r="K711" s="91">
        <v>198000</v>
      </c>
      <c r="L711" s="91">
        <v>108000</v>
      </c>
      <c r="M711" s="91">
        <v>4284000</v>
      </c>
      <c r="N711" s="91">
        <v>548000</v>
      </c>
      <c r="O711" s="91">
        <v>0</v>
      </c>
      <c r="P711" s="91">
        <v>2736000</v>
      </c>
      <c r="Q711" s="91">
        <v>108000</v>
      </c>
      <c r="R711" s="180">
        <f>SUM(I711:Q711)</f>
        <v>16928000</v>
      </c>
      <c r="S711" s="180">
        <v>7695824</v>
      </c>
      <c r="T711" s="91">
        <v>3997383</v>
      </c>
      <c r="U711" s="86">
        <v>516720</v>
      </c>
      <c r="V711" s="186">
        <v>260000</v>
      </c>
      <c r="W711" s="186">
        <f>R711+G711+S711+T711</f>
        <v>43170007</v>
      </c>
      <c r="X711" s="46"/>
    </row>
    <row r="712" spans="1:26" x14ac:dyDescent="0.2">
      <c r="A712" s="191" t="s">
        <v>42</v>
      </c>
      <c r="B712" s="91">
        <f t="shared" ref="B712:G712" si="309">B709+B711-B664</f>
        <v>2198400</v>
      </c>
      <c r="C712" s="91">
        <f t="shared" si="309"/>
        <v>11418043</v>
      </c>
      <c r="D712" s="91">
        <f t="shared" si="309"/>
        <v>65798083.336999997</v>
      </c>
      <c r="E712" s="91">
        <f t="shared" si="309"/>
        <v>61374052</v>
      </c>
      <c r="F712" s="91">
        <f t="shared" si="309"/>
        <v>26502692</v>
      </c>
      <c r="G712" s="180">
        <f t="shared" si="309"/>
        <v>167291270.33700001</v>
      </c>
      <c r="H712" s="91"/>
      <c r="I712" s="91">
        <f t="shared" ref="I712:W712" si="310">I709+I711-I664</f>
        <v>41292000</v>
      </c>
      <c r="J712" s="91">
        <f t="shared" si="310"/>
        <v>9468000</v>
      </c>
      <c r="K712" s="91">
        <f t="shared" si="310"/>
        <v>10887110</v>
      </c>
      <c r="L712" s="91">
        <f t="shared" si="310"/>
        <v>11478945</v>
      </c>
      <c r="M712" s="91">
        <f t="shared" si="310"/>
        <v>28629721</v>
      </c>
      <c r="N712" s="91">
        <f t="shared" si="310"/>
        <v>4277824</v>
      </c>
      <c r="O712" s="91">
        <f t="shared" si="310"/>
        <v>5805163</v>
      </c>
      <c r="P712" s="91">
        <f t="shared" si="310"/>
        <v>36139144</v>
      </c>
      <c r="Q712" s="91">
        <f t="shared" si="310"/>
        <v>6486004</v>
      </c>
      <c r="R712" s="180">
        <f t="shared" si="310"/>
        <v>154463911</v>
      </c>
      <c r="S712" s="180">
        <f t="shared" si="310"/>
        <v>91054214</v>
      </c>
      <c r="T712" s="215">
        <f t="shared" si="310"/>
        <v>35611544.129999995</v>
      </c>
      <c r="U712" s="86">
        <f t="shared" si="310"/>
        <v>5663110</v>
      </c>
      <c r="V712" s="86">
        <f t="shared" si="310"/>
        <v>1860000</v>
      </c>
      <c r="W712" s="186">
        <f t="shared" si="310"/>
        <v>448420939.46700001</v>
      </c>
      <c r="X712" s="46">
        <f>X709+W711</f>
        <v>7000894032.467</v>
      </c>
    </row>
    <row r="713" spans="1:26" x14ac:dyDescent="0.2">
      <c r="A713" s="191"/>
      <c r="B713" s="52"/>
      <c r="C713" s="52"/>
      <c r="D713" s="52"/>
      <c r="E713" s="52"/>
      <c r="F713" s="52"/>
      <c r="G713" s="180"/>
      <c r="H713" s="91"/>
      <c r="I713" s="52"/>
      <c r="J713" s="52"/>
      <c r="K713" s="52"/>
      <c r="L713" s="52"/>
      <c r="M713" s="52"/>
      <c r="N713" s="52"/>
      <c r="O713" s="52"/>
      <c r="P713" s="52"/>
      <c r="Q713" s="52"/>
      <c r="R713" s="180"/>
      <c r="S713" s="180" t="s">
        <v>105</v>
      </c>
      <c r="T713" s="44"/>
      <c r="U713" s="86"/>
      <c r="V713" s="186"/>
      <c r="W713" s="186"/>
      <c r="X713" s="46"/>
    </row>
    <row r="714" spans="1:26" x14ac:dyDescent="0.2">
      <c r="A714" s="191" t="s">
        <v>48</v>
      </c>
      <c r="B714" s="91">
        <v>388800</v>
      </c>
      <c r="C714" s="91">
        <v>3204000</v>
      </c>
      <c r="D714" s="91">
        <v>5184000</v>
      </c>
      <c r="E714" s="91">
        <v>5778000</v>
      </c>
      <c r="F714" s="91">
        <v>3072000</v>
      </c>
      <c r="G714" s="180">
        <f>SUM(B714:F714)</f>
        <v>17626800</v>
      </c>
      <c r="H714" s="91"/>
      <c r="I714" s="91">
        <v>5796000</v>
      </c>
      <c r="J714" s="91">
        <v>3717000</v>
      </c>
      <c r="K714" s="91">
        <v>1725000</v>
      </c>
      <c r="L714" s="91">
        <v>1590000</v>
      </c>
      <c r="M714" s="91">
        <v>3402000</v>
      </c>
      <c r="N714" s="91">
        <v>540000</v>
      </c>
      <c r="O714" s="91">
        <v>0</v>
      </c>
      <c r="P714" s="91">
        <v>3456000</v>
      </c>
      <c r="Q714" s="91">
        <v>1520000</v>
      </c>
      <c r="R714" s="180">
        <f>SUM(I714:Q714)</f>
        <v>21746000</v>
      </c>
      <c r="S714" s="180">
        <v>10603500</v>
      </c>
      <c r="T714" s="91">
        <v>4541645</v>
      </c>
      <c r="U714" s="86">
        <v>670500</v>
      </c>
      <c r="V714" s="186">
        <v>-158000</v>
      </c>
      <c r="W714" s="186">
        <f>R714+G714+S714+T714</f>
        <v>54517945</v>
      </c>
      <c r="X714" s="46"/>
    </row>
    <row r="715" spans="1:26" x14ac:dyDescent="0.2">
      <c r="A715" s="191" t="s">
        <v>42</v>
      </c>
      <c r="B715" s="91">
        <f t="shared" ref="B715:G715" si="311">B712+B714-B667</f>
        <v>2155200</v>
      </c>
      <c r="C715" s="91">
        <f t="shared" si="311"/>
        <v>12252043</v>
      </c>
      <c r="D715" s="91">
        <f t="shared" si="311"/>
        <v>65402083.336999997</v>
      </c>
      <c r="E715" s="91">
        <f t="shared" si="311"/>
        <v>62085052</v>
      </c>
      <c r="F715" s="91">
        <f t="shared" si="311"/>
        <v>27846692</v>
      </c>
      <c r="G715" s="180">
        <f t="shared" si="311"/>
        <v>169741070.33700001</v>
      </c>
      <c r="H715" s="91"/>
      <c r="I715" s="91">
        <f t="shared" ref="I715:W715" si="312">I712+I714-I667</f>
        <v>42204000</v>
      </c>
      <c r="J715" s="91">
        <f t="shared" si="312"/>
        <v>11025000</v>
      </c>
      <c r="K715" s="91">
        <f t="shared" si="312"/>
        <v>11511110</v>
      </c>
      <c r="L715" s="91">
        <f t="shared" si="312"/>
        <v>11721945</v>
      </c>
      <c r="M715" s="91">
        <f t="shared" si="312"/>
        <v>29106721</v>
      </c>
      <c r="N715" s="91">
        <f t="shared" si="312"/>
        <v>4179824</v>
      </c>
      <c r="O715" s="91">
        <f t="shared" si="312"/>
        <v>4878163</v>
      </c>
      <c r="P715" s="91">
        <f t="shared" si="312"/>
        <v>36139144</v>
      </c>
      <c r="Q715" s="91">
        <f t="shared" si="312"/>
        <v>5886004</v>
      </c>
      <c r="R715" s="180">
        <f t="shared" si="312"/>
        <v>156651911</v>
      </c>
      <c r="S715" s="180">
        <f t="shared" si="312"/>
        <v>92531054</v>
      </c>
      <c r="T715" s="215">
        <f t="shared" si="312"/>
        <v>40153189.129999995</v>
      </c>
      <c r="U715" s="86">
        <f t="shared" si="312"/>
        <v>5836950</v>
      </c>
      <c r="V715" s="86">
        <f>V712+V714</f>
        <v>1702000</v>
      </c>
      <c r="W715" s="186">
        <f t="shared" si="312"/>
        <v>459077224.46700001</v>
      </c>
      <c r="X715" s="46">
        <f>X712+W714</f>
        <v>7055411977.467</v>
      </c>
      <c r="Z715" s="223" t="s">
        <v>144</v>
      </c>
    </row>
    <row r="716" spans="1:26" x14ac:dyDescent="0.2">
      <c r="A716" s="191"/>
      <c r="B716" s="52"/>
      <c r="C716" s="52"/>
      <c r="D716" s="52"/>
      <c r="E716" s="52"/>
      <c r="F716" s="52"/>
      <c r="G716" s="180"/>
      <c r="H716" s="91"/>
      <c r="I716" s="52"/>
      <c r="J716" s="52"/>
      <c r="K716" s="52"/>
      <c r="L716" s="52"/>
      <c r="M716" s="52"/>
      <c r="N716" s="52"/>
      <c r="O716" s="52"/>
      <c r="P716" s="52"/>
      <c r="Q716" s="52"/>
      <c r="R716" s="180"/>
      <c r="S716" s="180"/>
      <c r="T716" s="44"/>
      <c r="U716" s="86"/>
      <c r="V716" s="186"/>
      <c r="W716" s="186"/>
      <c r="X716" s="46"/>
    </row>
    <row r="717" spans="1:26" x14ac:dyDescent="0.2">
      <c r="A717" s="191" t="s">
        <v>49</v>
      </c>
      <c r="B717" s="91">
        <v>504000</v>
      </c>
      <c r="C717" s="91">
        <v>3090000</v>
      </c>
      <c r="D717" s="91">
        <v>5436000</v>
      </c>
      <c r="E717" s="91">
        <v>5958000</v>
      </c>
      <c r="F717" s="91">
        <v>3150000</v>
      </c>
      <c r="G717" s="180">
        <f>SUM(B717:F717)</f>
        <v>18138000</v>
      </c>
      <c r="H717" s="91"/>
      <c r="I717" s="91">
        <v>6300000</v>
      </c>
      <c r="J717" s="91">
        <v>3510000</v>
      </c>
      <c r="K717" s="91">
        <v>1734000</v>
      </c>
      <c r="L717" s="91">
        <v>1593000</v>
      </c>
      <c r="M717" s="91">
        <v>3150000</v>
      </c>
      <c r="N717" s="91">
        <v>482000</v>
      </c>
      <c r="O717" s="91">
        <v>0</v>
      </c>
      <c r="P717" s="91">
        <v>1248000</v>
      </c>
      <c r="Q717" s="91">
        <v>256000</v>
      </c>
      <c r="R717" s="180">
        <f>SUM(I717:Q717)</f>
        <v>18273000</v>
      </c>
      <c r="S717" s="180">
        <v>10897630</v>
      </c>
      <c r="T717" s="91">
        <v>67775</v>
      </c>
      <c r="U717" s="86">
        <v>468626</v>
      </c>
      <c r="V717" s="186">
        <v>52000</v>
      </c>
      <c r="W717" s="186">
        <f>R717+G717+S717+T717</f>
        <v>47376405</v>
      </c>
      <c r="X717" s="46"/>
    </row>
    <row r="718" spans="1:26" x14ac:dyDescent="0.2">
      <c r="A718" s="191" t="s">
        <v>42</v>
      </c>
      <c r="B718" s="91">
        <f t="shared" ref="B718:G718" si="313">B715+B717-B670</f>
        <v>2232000</v>
      </c>
      <c r="C718" s="91">
        <f t="shared" si="313"/>
        <v>13170043</v>
      </c>
      <c r="D718" s="91">
        <f t="shared" si="313"/>
        <v>64550083.336999997</v>
      </c>
      <c r="E718" s="91">
        <f t="shared" si="313"/>
        <v>62346052</v>
      </c>
      <c r="F718" s="91">
        <f t="shared" si="313"/>
        <v>29136692</v>
      </c>
      <c r="G718" s="180">
        <f t="shared" si="313"/>
        <v>171434870.33700001</v>
      </c>
      <c r="H718" s="91"/>
      <c r="I718" s="91">
        <f t="shared" ref="I718:W718" si="314">I715+I717-I670</f>
        <v>44628000</v>
      </c>
      <c r="J718" s="91">
        <f t="shared" si="314"/>
        <v>14535000</v>
      </c>
      <c r="K718" s="91">
        <f t="shared" si="314"/>
        <v>12081000</v>
      </c>
      <c r="L718" s="91">
        <f t="shared" si="314"/>
        <v>11916000</v>
      </c>
      <c r="M718" s="91">
        <f t="shared" si="314"/>
        <v>29016000</v>
      </c>
      <c r="N718" s="91">
        <f t="shared" si="314"/>
        <v>4104000</v>
      </c>
      <c r="O718" s="91">
        <f t="shared" si="314"/>
        <v>3885000</v>
      </c>
      <c r="P718" s="91">
        <f t="shared" si="314"/>
        <v>33900000</v>
      </c>
      <c r="Q718" s="91">
        <f t="shared" si="314"/>
        <v>4200000</v>
      </c>
      <c r="R718" s="180">
        <f t="shared" si="314"/>
        <v>158265000</v>
      </c>
      <c r="S718" s="180">
        <f t="shared" si="314"/>
        <v>93869334</v>
      </c>
      <c r="T718" s="215">
        <f t="shared" si="314"/>
        <v>38402991.129999995</v>
      </c>
      <c r="U718" s="86">
        <f t="shared" si="314"/>
        <v>5934226</v>
      </c>
      <c r="V718" s="86">
        <f t="shared" si="314"/>
        <v>1754000</v>
      </c>
      <c r="W718" s="186">
        <f t="shared" si="314"/>
        <v>461972195.46700001</v>
      </c>
      <c r="X718" s="46">
        <f>X715+W717</f>
        <v>7102788382.467</v>
      </c>
    </row>
    <row r="719" spans="1:26" x14ac:dyDescent="0.2">
      <c r="A719" s="191"/>
      <c r="B719" s="52"/>
      <c r="C719" s="52"/>
      <c r="D719" s="52"/>
      <c r="E719" s="52"/>
      <c r="F719" s="52"/>
      <c r="G719" s="180"/>
      <c r="H719" s="91"/>
      <c r="I719" s="52"/>
      <c r="J719" s="52"/>
      <c r="K719" s="52"/>
      <c r="L719" s="52"/>
      <c r="M719" s="52"/>
      <c r="N719" s="52"/>
      <c r="O719" s="52"/>
      <c r="P719" s="52"/>
      <c r="Q719" s="52"/>
      <c r="R719" s="180"/>
      <c r="S719" s="180"/>
      <c r="T719" s="44"/>
      <c r="U719" s="86"/>
      <c r="V719" s="186"/>
      <c r="W719" s="186"/>
      <c r="X719" s="46"/>
    </row>
    <row r="720" spans="1:26" x14ac:dyDescent="0.2">
      <c r="A720" s="191" t="s">
        <v>50</v>
      </c>
      <c r="B720" s="91">
        <v>422400</v>
      </c>
      <c r="C720" s="91">
        <v>1908000</v>
      </c>
      <c r="D720" s="91">
        <v>5736000</v>
      </c>
      <c r="E720" s="91">
        <v>5364000</v>
      </c>
      <c r="F720" s="91">
        <v>2466000</v>
      </c>
      <c r="G720" s="180">
        <f>SUM(B720:F720)</f>
        <v>15896400</v>
      </c>
      <c r="H720" s="91"/>
      <c r="I720" s="91">
        <v>6228000</v>
      </c>
      <c r="J720" s="91">
        <v>3852000</v>
      </c>
      <c r="K720" s="91">
        <v>1539000</v>
      </c>
      <c r="L720" s="91">
        <v>1632000</v>
      </c>
      <c r="M720" s="91">
        <v>3303000</v>
      </c>
      <c r="N720" s="91">
        <v>200000</v>
      </c>
      <c r="O720" s="91">
        <v>0</v>
      </c>
      <c r="P720" s="91">
        <v>516000</v>
      </c>
      <c r="Q720" s="91">
        <v>0</v>
      </c>
      <c r="R720" s="180">
        <f>SUM(I720:Q720)</f>
        <v>17270000</v>
      </c>
      <c r="S720" s="180">
        <v>8873350</v>
      </c>
      <c r="T720" s="91">
        <v>0</v>
      </c>
      <c r="U720" s="86">
        <v>451350</v>
      </c>
      <c r="V720" s="186">
        <v>0</v>
      </c>
      <c r="W720" s="186">
        <f>R720+G720+S720+T720</f>
        <v>42039750</v>
      </c>
      <c r="X720" s="46"/>
    </row>
    <row r="721" spans="1:24" x14ac:dyDescent="0.2">
      <c r="A721" s="191" t="s">
        <v>42</v>
      </c>
      <c r="B721" s="91">
        <f t="shared" ref="B721:G721" si="315">B718+B720-B673</f>
        <v>2203200</v>
      </c>
      <c r="C721" s="91">
        <f t="shared" si="315"/>
        <v>12534043</v>
      </c>
      <c r="D721" s="91">
        <f t="shared" si="315"/>
        <v>64190083.336999997</v>
      </c>
      <c r="E721" s="91">
        <f t="shared" si="315"/>
        <v>61482052</v>
      </c>
      <c r="F721" s="91">
        <f t="shared" si="315"/>
        <v>30270692</v>
      </c>
      <c r="G721" s="180">
        <f t="shared" si="315"/>
        <v>170680070.33700001</v>
      </c>
      <c r="H721" s="91"/>
      <c r="I721" s="91">
        <f t="shared" ref="I721:W721" si="316">I718+I720-I673</f>
        <v>47856000</v>
      </c>
      <c r="J721" s="91">
        <f t="shared" si="316"/>
        <v>18387000</v>
      </c>
      <c r="K721" s="91">
        <f t="shared" si="316"/>
        <v>11910000</v>
      </c>
      <c r="L721" s="91">
        <f t="shared" si="316"/>
        <v>11844000</v>
      </c>
      <c r="M721" s="91">
        <f t="shared" si="316"/>
        <v>29043000</v>
      </c>
      <c r="N721" s="91">
        <f t="shared" si="316"/>
        <v>3746000</v>
      </c>
      <c r="O721" s="91">
        <f t="shared" si="316"/>
        <v>2868000</v>
      </c>
      <c r="P721" s="91">
        <f t="shared" si="316"/>
        <v>31098000</v>
      </c>
      <c r="Q721" s="91">
        <f t="shared" si="316"/>
        <v>3496000</v>
      </c>
      <c r="R721" s="180">
        <f t="shared" si="316"/>
        <v>160248000</v>
      </c>
      <c r="S721" s="180">
        <f t="shared" si="316"/>
        <v>92860454</v>
      </c>
      <c r="T721" s="215">
        <f t="shared" si="316"/>
        <v>37339758.129999995</v>
      </c>
      <c r="U721" s="86">
        <f t="shared" si="316"/>
        <v>5965350</v>
      </c>
      <c r="V721" s="86">
        <f t="shared" si="316"/>
        <v>1754000</v>
      </c>
      <c r="W721" s="186">
        <f t="shared" si="316"/>
        <v>461128282.46700001</v>
      </c>
      <c r="X721" s="46">
        <f>X718+W720</f>
        <v>7144828132.467</v>
      </c>
    </row>
    <row r="722" spans="1:24" x14ac:dyDescent="0.2">
      <c r="A722" s="191"/>
      <c r="B722" s="52"/>
      <c r="C722" s="52"/>
      <c r="D722" s="52"/>
      <c r="E722" s="52"/>
      <c r="F722" s="52"/>
      <c r="G722" s="180"/>
      <c r="H722" s="91"/>
      <c r="I722" s="52"/>
      <c r="J722" s="52"/>
      <c r="K722" s="52"/>
      <c r="L722" s="52"/>
      <c r="M722" s="52"/>
      <c r="N722" s="52"/>
      <c r="O722" s="52"/>
      <c r="P722" s="52"/>
      <c r="Q722" s="52"/>
      <c r="R722" s="180"/>
      <c r="S722" s="180"/>
      <c r="T722" s="44"/>
      <c r="U722" s="86"/>
      <c r="V722" s="186"/>
      <c r="W722" s="186"/>
      <c r="X722" s="46"/>
    </row>
    <row r="723" spans="1:24" x14ac:dyDescent="0.2">
      <c r="A723" s="191" t="s">
        <v>51</v>
      </c>
      <c r="B723" s="91">
        <v>283200</v>
      </c>
      <c r="C723" s="91">
        <v>480000</v>
      </c>
      <c r="D723" s="91">
        <v>5100000</v>
      </c>
      <c r="E723" s="91">
        <v>4698000</v>
      </c>
      <c r="F723" s="91">
        <v>2556000</v>
      </c>
      <c r="G723" s="180">
        <f>SUM(B723:F723)</f>
        <v>13117200</v>
      </c>
      <c r="H723" s="91"/>
      <c r="I723" s="91">
        <v>5148000</v>
      </c>
      <c r="J723" s="91">
        <v>3465000</v>
      </c>
      <c r="K723" s="91">
        <v>477000</v>
      </c>
      <c r="L723" s="91">
        <v>222000</v>
      </c>
      <c r="M723" s="91">
        <v>2709000</v>
      </c>
      <c r="N723" s="91">
        <v>0</v>
      </c>
      <c r="O723" s="91">
        <v>0</v>
      </c>
      <c r="P723" s="91">
        <v>954000</v>
      </c>
      <c r="Q723" s="91">
        <v>0</v>
      </c>
      <c r="R723" s="180">
        <f>SUM(I723:Q723)</f>
        <v>12975000</v>
      </c>
      <c r="S723" s="180">
        <v>8331080</v>
      </c>
      <c r="T723" s="91">
        <v>798483</v>
      </c>
      <c r="U723" s="86">
        <v>100080</v>
      </c>
      <c r="V723" s="186">
        <f>-208000+19000</f>
        <v>-189000</v>
      </c>
      <c r="W723" s="186">
        <f>R723+G723+S723+T723</f>
        <v>35221763</v>
      </c>
      <c r="X723" s="46"/>
    </row>
    <row r="724" spans="1:24" x14ac:dyDescent="0.2">
      <c r="A724" s="191" t="s">
        <v>42</v>
      </c>
      <c r="B724" s="91">
        <f t="shared" ref="B724:G724" si="317">B721+B723-B676</f>
        <v>2073600</v>
      </c>
      <c r="C724" s="91">
        <f t="shared" si="317"/>
        <v>10758043</v>
      </c>
      <c r="D724" s="91">
        <f t="shared" si="317"/>
        <v>64082083.336999997</v>
      </c>
      <c r="E724" s="91">
        <f t="shared" si="317"/>
        <v>61977052</v>
      </c>
      <c r="F724" s="91">
        <f t="shared" si="317"/>
        <v>30912692</v>
      </c>
      <c r="G724" s="180">
        <f t="shared" si="317"/>
        <v>169803470.33700001</v>
      </c>
      <c r="H724" s="91"/>
      <c r="I724" s="91">
        <f t="shared" ref="I724:W724" si="318">I721+I723-I676</f>
        <v>48384000</v>
      </c>
      <c r="J724" s="91">
        <f t="shared" si="318"/>
        <v>19224000</v>
      </c>
      <c r="K724" s="91">
        <f t="shared" si="318"/>
        <v>10869000</v>
      </c>
      <c r="L724" s="91">
        <f t="shared" si="318"/>
        <v>10419000</v>
      </c>
      <c r="M724" s="91">
        <f t="shared" si="318"/>
        <v>28242000</v>
      </c>
      <c r="N724" s="91">
        <f t="shared" si="318"/>
        <v>3746000</v>
      </c>
      <c r="O724" s="91">
        <f t="shared" si="318"/>
        <v>1866000</v>
      </c>
      <c r="P724" s="91">
        <f t="shared" si="318"/>
        <v>29868000</v>
      </c>
      <c r="Q724" s="91">
        <f t="shared" si="318"/>
        <v>2792000</v>
      </c>
      <c r="R724" s="180">
        <f t="shared" si="318"/>
        <v>155410000</v>
      </c>
      <c r="S724" s="180">
        <f t="shared" si="318"/>
        <v>94751374</v>
      </c>
      <c r="T724" s="215">
        <f t="shared" si="318"/>
        <v>34085530.129999995</v>
      </c>
      <c r="U724" s="86">
        <f t="shared" si="318"/>
        <v>5718270</v>
      </c>
      <c r="V724" s="86">
        <f t="shared" si="318"/>
        <v>1565000</v>
      </c>
      <c r="W724" s="186">
        <f t="shared" si="318"/>
        <v>454050374.46700001</v>
      </c>
      <c r="X724" s="46">
        <f>X721+W723</f>
        <v>7180049895.467</v>
      </c>
    </row>
    <row r="725" spans="1:24" x14ac:dyDescent="0.2">
      <c r="A725" s="191"/>
      <c r="B725" s="52"/>
      <c r="C725" s="52"/>
      <c r="D725" s="52"/>
      <c r="E725" s="52"/>
      <c r="F725" s="52"/>
      <c r="G725" s="180"/>
      <c r="H725" s="91"/>
      <c r="I725" s="52"/>
      <c r="J725" s="52"/>
      <c r="K725" s="52"/>
      <c r="L725" s="52"/>
      <c r="M725" s="52"/>
      <c r="N725" s="52"/>
      <c r="O725" s="52"/>
      <c r="P725" s="52"/>
      <c r="Q725" s="52"/>
      <c r="R725" s="180"/>
      <c r="S725" s="180"/>
      <c r="T725" s="44"/>
      <c r="U725" s="86"/>
      <c r="V725" s="186"/>
      <c r="W725" s="186"/>
      <c r="X725" s="46"/>
    </row>
    <row r="726" spans="1:24" x14ac:dyDescent="0.2">
      <c r="A726" s="191" t="s">
        <v>52</v>
      </c>
      <c r="B726" s="91">
        <v>475200</v>
      </c>
      <c r="C726" s="91">
        <v>516000</v>
      </c>
      <c r="D726" s="91">
        <v>5100000</v>
      </c>
      <c r="E726" s="91">
        <v>4905000</v>
      </c>
      <c r="F726" s="91">
        <v>2466000</v>
      </c>
      <c r="G726" s="180">
        <f>SUM(B726:F726)</f>
        <v>13462200</v>
      </c>
      <c r="H726" s="91"/>
      <c r="I726" s="91">
        <v>4920000</v>
      </c>
      <c r="J726" s="91">
        <v>3879000</v>
      </c>
      <c r="K726" s="91">
        <v>586500</v>
      </c>
      <c r="L726" s="91">
        <v>525300</v>
      </c>
      <c r="M726" s="91">
        <v>969300</v>
      </c>
      <c r="N726" s="91">
        <v>0</v>
      </c>
      <c r="O726" s="91">
        <v>0</v>
      </c>
      <c r="P726" s="91">
        <v>521400</v>
      </c>
      <c r="Q726" s="91">
        <v>343600</v>
      </c>
      <c r="R726" s="180">
        <f>SUM(I726:Q726)</f>
        <v>11745100</v>
      </c>
      <c r="S726" s="180">
        <v>6446700</v>
      </c>
      <c r="T726" s="91">
        <v>1311939</v>
      </c>
      <c r="U726" s="86">
        <v>104700</v>
      </c>
      <c r="V726" s="186">
        <v>-5000</v>
      </c>
      <c r="W726" s="186">
        <f>R726+G726+S726+T726</f>
        <v>32965939</v>
      </c>
      <c r="X726" s="46"/>
    </row>
    <row r="727" spans="1:24" x14ac:dyDescent="0.2">
      <c r="A727" s="191" t="s">
        <v>42</v>
      </c>
      <c r="B727" s="91">
        <f t="shared" ref="B727:G727" si="319">B724+B726-B679</f>
        <v>2505600</v>
      </c>
      <c r="C727" s="91">
        <f t="shared" si="319"/>
        <v>9816000</v>
      </c>
      <c r="D727" s="91">
        <f t="shared" si="319"/>
        <v>64430083.336999997</v>
      </c>
      <c r="E727" s="91">
        <f t="shared" si="319"/>
        <v>61938000</v>
      </c>
      <c r="F727" s="91">
        <f t="shared" si="319"/>
        <v>30636000</v>
      </c>
      <c r="G727" s="180">
        <f t="shared" si="319"/>
        <v>169325683.33700001</v>
      </c>
      <c r="H727" s="91"/>
      <c r="I727" s="91">
        <f t="shared" ref="I727:W727" si="320">I724+I726-I679</f>
        <v>51588000</v>
      </c>
      <c r="J727" s="91">
        <f t="shared" si="320"/>
        <v>23103000</v>
      </c>
      <c r="K727" s="91">
        <f t="shared" si="320"/>
        <v>9964500</v>
      </c>
      <c r="L727" s="91">
        <f t="shared" si="320"/>
        <v>9345300</v>
      </c>
      <c r="M727" s="91">
        <f t="shared" si="320"/>
        <v>26727300</v>
      </c>
      <c r="N727" s="91">
        <f t="shared" si="320"/>
        <v>3716000</v>
      </c>
      <c r="O727" s="91">
        <f t="shared" si="320"/>
        <v>705000</v>
      </c>
      <c r="P727" s="91">
        <f t="shared" si="320"/>
        <v>27539400</v>
      </c>
      <c r="Q727" s="91">
        <f t="shared" si="320"/>
        <v>2227600</v>
      </c>
      <c r="R727" s="180">
        <f t="shared" si="320"/>
        <v>154916100</v>
      </c>
      <c r="S727" s="180">
        <f t="shared" si="320"/>
        <v>95371724</v>
      </c>
      <c r="T727" s="215">
        <f t="shared" si="320"/>
        <v>35391857.129999995</v>
      </c>
      <c r="U727" s="86">
        <f t="shared" si="320"/>
        <v>5487616</v>
      </c>
      <c r="V727" s="86">
        <f t="shared" si="320"/>
        <v>1560000</v>
      </c>
      <c r="W727" s="186">
        <f t="shared" si="320"/>
        <v>455005364.46700001</v>
      </c>
      <c r="X727" s="46">
        <f>X724+W726</f>
        <v>7213015834.467</v>
      </c>
    </row>
    <row r="728" spans="1:24" x14ac:dyDescent="0.2">
      <c r="A728" s="191"/>
      <c r="B728" s="52"/>
      <c r="C728" s="52"/>
      <c r="D728" s="52"/>
      <c r="E728" s="52"/>
      <c r="F728" s="52"/>
      <c r="G728" s="180"/>
      <c r="H728" s="91"/>
      <c r="I728" s="52"/>
      <c r="J728" s="52"/>
      <c r="K728" s="52"/>
      <c r="L728" s="52"/>
      <c r="M728" s="52"/>
      <c r="N728" s="52"/>
      <c r="O728" s="52"/>
      <c r="P728" s="52"/>
      <c r="Q728" s="52"/>
      <c r="R728" s="180"/>
      <c r="S728" s="180"/>
      <c r="T728" s="44"/>
      <c r="U728" s="86"/>
      <c r="V728" s="186"/>
      <c r="W728" s="186"/>
      <c r="X728" s="46"/>
    </row>
    <row r="729" spans="1:24" x14ac:dyDescent="0.2">
      <c r="A729" s="191" t="s">
        <v>53</v>
      </c>
      <c r="B729" s="91">
        <v>206400</v>
      </c>
      <c r="C729" s="91">
        <v>0</v>
      </c>
      <c r="D729" s="91">
        <v>5461577</v>
      </c>
      <c r="E729" s="91">
        <v>5430334</v>
      </c>
      <c r="F729" s="91">
        <v>916200</v>
      </c>
      <c r="G729" s="180">
        <f>SUM(B729:F729)</f>
        <v>12014511</v>
      </c>
      <c r="H729" s="91"/>
      <c r="I729" s="91">
        <v>5532000</v>
      </c>
      <c r="J729" s="91">
        <v>4095000</v>
      </c>
      <c r="K729" s="91">
        <v>138000</v>
      </c>
      <c r="L729" s="91">
        <v>195000</v>
      </c>
      <c r="M729" s="91">
        <v>0</v>
      </c>
      <c r="N729" s="91">
        <v>0</v>
      </c>
      <c r="O729" s="91">
        <v>0</v>
      </c>
      <c r="P729" s="91">
        <v>174000</v>
      </c>
      <c r="Q729" s="91">
        <v>740000</v>
      </c>
      <c r="R729" s="180">
        <f>SUM(I729:Q729)</f>
        <v>10874000</v>
      </c>
      <c r="S729" s="180">
        <v>9297000</v>
      </c>
      <c r="T729" s="91">
        <v>475668</v>
      </c>
      <c r="U729" s="86">
        <v>109000</v>
      </c>
      <c r="V729" s="186">
        <v>0</v>
      </c>
      <c r="W729" s="186">
        <f>R729+G729+S729+T729</f>
        <v>32661179</v>
      </c>
      <c r="X729" s="46"/>
    </row>
    <row r="730" spans="1:24" ht="13.5" thickBot="1" x14ac:dyDescent="0.25">
      <c r="A730" s="192" t="s">
        <v>42</v>
      </c>
      <c r="B730" s="187">
        <f t="shared" ref="B730:G730" si="321">B727+B729-B682</f>
        <v>2712000</v>
      </c>
      <c r="C730" s="187">
        <f t="shared" si="321"/>
        <v>9690000</v>
      </c>
      <c r="D730" s="187">
        <f t="shared" si="321"/>
        <v>64261577</v>
      </c>
      <c r="E730" s="187">
        <f t="shared" si="321"/>
        <v>63237334</v>
      </c>
      <c r="F730" s="187">
        <f t="shared" si="321"/>
        <v>30544200</v>
      </c>
      <c r="G730" s="188">
        <f t="shared" si="321"/>
        <v>170445111</v>
      </c>
      <c r="H730" s="187"/>
      <c r="I730" s="187">
        <f t="shared" ref="I730:W730" si="322">I727+I729-I682</f>
        <v>55104000</v>
      </c>
      <c r="J730" s="187">
        <f t="shared" si="322"/>
        <v>27198000</v>
      </c>
      <c r="K730" s="187">
        <f t="shared" si="322"/>
        <v>8869500</v>
      </c>
      <c r="L730" s="187">
        <f t="shared" si="322"/>
        <v>8091300</v>
      </c>
      <c r="M730" s="187">
        <f t="shared" si="322"/>
        <v>23415300</v>
      </c>
      <c r="N730" s="187">
        <f t="shared" si="322"/>
        <v>3716000</v>
      </c>
      <c r="O730" s="187">
        <f t="shared" si="322"/>
        <v>246000</v>
      </c>
      <c r="P730" s="187">
        <f t="shared" si="322"/>
        <v>24149400</v>
      </c>
      <c r="Q730" s="187">
        <f t="shared" si="322"/>
        <v>2967600</v>
      </c>
      <c r="R730" s="188">
        <f t="shared" si="322"/>
        <v>153757100</v>
      </c>
      <c r="S730" s="188">
        <f t="shared" si="322"/>
        <v>100290334</v>
      </c>
      <c r="T730" s="212">
        <f t="shared" si="322"/>
        <v>35866077.129999995</v>
      </c>
      <c r="U730" s="212">
        <f t="shared" si="322"/>
        <v>5392226</v>
      </c>
      <c r="V730" s="212">
        <f t="shared" si="322"/>
        <v>1560000</v>
      </c>
      <c r="W730" s="189">
        <f t="shared" si="322"/>
        <v>460358622.13</v>
      </c>
      <c r="X730" s="190">
        <f>X727+W729</f>
        <v>7245677013.467</v>
      </c>
    </row>
    <row r="731" spans="1:24" x14ac:dyDescent="0.2">
      <c r="A731" s="211" t="s">
        <v>178</v>
      </c>
    </row>
    <row r="732" spans="1:24" x14ac:dyDescent="0.2">
      <c r="A732" s="211" t="s">
        <v>142</v>
      </c>
      <c r="P732" t="s">
        <v>190</v>
      </c>
    </row>
    <row r="733" spans="1:24" x14ac:dyDescent="0.2">
      <c r="A733" s="211" t="s">
        <v>182</v>
      </c>
      <c r="B733" s="219"/>
      <c r="C733" s="219"/>
      <c r="D733" s="219"/>
      <c r="E733" s="219"/>
      <c r="F733" s="219"/>
      <c r="I733" s="219"/>
      <c r="J733" s="219"/>
      <c r="K733" s="219"/>
      <c r="L733" s="219"/>
      <c r="M733" s="219"/>
      <c r="N733" s="219"/>
      <c r="O733" s="219" t="s">
        <v>60</v>
      </c>
      <c r="P733" t="s">
        <v>122</v>
      </c>
    </row>
    <row r="734" spans="1:24" x14ac:dyDescent="0.2">
      <c r="A734" s="245" t="s">
        <v>60</v>
      </c>
    </row>
    <row r="735" spans="1:24" ht="27" x14ac:dyDescent="0.35">
      <c r="A735" s="126" t="s">
        <v>140</v>
      </c>
      <c r="B735" s="121"/>
      <c r="C735" s="121"/>
      <c r="D735" s="122"/>
      <c r="E735" s="121"/>
      <c r="F735" s="121"/>
      <c r="G735" s="121"/>
      <c r="H735" s="121"/>
      <c r="I735" s="121"/>
      <c r="J735" s="121"/>
      <c r="K735" s="121"/>
      <c r="L735" s="123"/>
      <c r="M735" s="124"/>
      <c r="N735" s="121"/>
      <c r="O735" s="121"/>
      <c r="P735" s="121"/>
      <c r="Q735" s="121"/>
      <c r="R735" s="121"/>
      <c r="S735" s="121"/>
      <c r="T735" s="121"/>
      <c r="U735" s="121"/>
      <c r="V735" s="121"/>
      <c r="W735" s="125"/>
      <c r="X735" s="121"/>
    </row>
    <row r="736" spans="1:24" x14ac:dyDescent="0.2">
      <c r="A736" s="52"/>
      <c r="B736" s="52"/>
      <c r="C736" s="21"/>
      <c r="D736" s="115"/>
      <c r="E736" s="52"/>
      <c r="F736" s="115"/>
      <c r="G736" s="52"/>
      <c r="H736" s="115"/>
      <c r="I736" s="115"/>
      <c r="J736" s="115"/>
      <c r="K736" s="52"/>
      <c r="L736" s="115"/>
      <c r="M736" s="52"/>
      <c r="N736" s="52"/>
      <c r="O736" s="52"/>
      <c r="P736" s="52"/>
      <c r="Q736" s="52"/>
      <c r="R736" s="52"/>
      <c r="S736" s="52"/>
      <c r="T736" s="52"/>
      <c r="U736" s="52"/>
      <c r="V736" s="52"/>
      <c r="W736" s="91"/>
      <c r="X736" s="91"/>
    </row>
    <row r="737" spans="1:27" ht="27.75" thickBot="1" x14ac:dyDescent="0.4">
      <c r="A737" s="126" t="s">
        <v>107</v>
      </c>
      <c r="B737" s="121"/>
      <c r="C737" s="121"/>
      <c r="D737" s="121"/>
      <c r="E737" s="121"/>
      <c r="F737" s="122"/>
      <c r="G737" s="121"/>
      <c r="H737" s="121"/>
      <c r="I737" s="121"/>
      <c r="J737" s="121"/>
      <c r="K737" s="121"/>
      <c r="L737" s="121"/>
      <c r="M737" s="121"/>
      <c r="N737" s="121"/>
      <c r="O737" s="121"/>
      <c r="P737" s="121"/>
      <c r="Q737" s="121"/>
      <c r="R737" s="121"/>
      <c r="S737" s="121"/>
      <c r="T737" s="121"/>
      <c r="U737" s="121"/>
      <c r="V737" s="121"/>
      <c r="W737" s="125"/>
      <c r="X737" s="125"/>
    </row>
    <row r="738" spans="1:27" x14ac:dyDescent="0.2">
      <c r="A738" s="174"/>
      <c r="B738" s="173"/>
      <c r="C738" s="173"/>
      <c r="D738" s="173"/>
      <c r="E738" s="173"/>
      <c r="F738" s="173"/>
      <c r="G738" s="173"/>
      <c r="H738" s="173"/>
      <c r="I738" s="173"/>
      <c r="J738" s="173"/>
      <c r="K738" s="173"/>
      <c r="L738" s="173"/>
      <c r="M738" s="173"/>
      <c r="N738" s="173"/>
      <c r="O738" s="173"/>
      <c r="P738" s="173"/>
      <c r="Q738" s="173"/>
      <c r="R738" s="173"/>
      <c r="S738" s="173"/>
      <c r="T738" s="173"/>
      <c r="U738" s="173"/>
      <c r="V738" s="173"/>
      <c r="W738" s="173"/>
      <c r="X738" s="181"/>
    </row>
    <row r="739" spans="1:27" ht="13.5" thickBot="1" x14ac:dyDescent="0.25">
      <c r="A739" s="176"/>
      <c r="B739" s="179" t="s">
        <v>112</v>
      </c>
      <c r="C739" s="177"/>
      <c r="D739" s="177"/>
      <c r="E739" s="177"/>
      <c r="F739" s="177"/>
      <c r="G739" s="177"/>
      <c r="H739" s="177"/>
      <c r="I739" s="177"/>
      <c r="J739" s="177"/>
      <c r="K739" s="177"/>
      <c r="L739" s="179" t="s">
        <v>113</v>
      </c>
      <c r="M739" s="177"/>
      <c r="N739" s="177"/>
      <c r="O739" s="177"/>
      <c r="P739" s="177"/>
      <c r="Q739" s="177"/>
      <c r="R739" s="177"/>
      <c r="S739" s="177"/>
      <c r="T739" s="177"/>
      <c r="U739" s="177"/>
      <c r="V739" s="177"/>
      <c r="W739" s="177"/>
      <c r="X739" s="182"/>
    </row>
    <row r="740" spans="1:27" x14ac:dyDescent="0.2">
      <c r="A740" s="175"/>
      <c r="B740" s="155" t="s">
        <v>11</v>
      </c>
      <c r="C740" s="155" t="s">
        <v>12</v>
      </c>
      <c r="D740" s="155" t="s">
        <v>13</v>
      </c>
      <c r="E740" s="155" t="s">
        <v>14</v>
      </c>
      <c r="F740" s="155" t="s">
        <v>15</v>
      </c>
      <c r="G740" s="193" t="s">
        <v>16</v>
      </c>
      <c r="H740" s="21"/>
      <c r="I740" s="155" t="s">
        <v>17</v>
      </c>
      <c r="J740" s="21"/>
      <c r="K740" s="21"/>
      <c r="L740" s="21"/>
      <c r="M740" s="21"/>
      <c r="N740" s="155" t="s">
        <v>18</v>
      </c>
      <c r="O740" s="155" t="s">
        <v>19</v>
      </c>
      <c r="P740" s="155" t="s">
        <v>20</v>
      </c>
      <c r="Q740" s="155" t="s">
        <v>21</v>
      </c>
      <c r="R740" s="193" t="s">
        <v>16</v>
      </c>
      <c r="S740" s="193" t="s">
        <v>114</v>
      </c>
      <c r="T740" s="209" t="s">
        <v>127</v>
      </c>
      <c r="U740" s="207" t="s">
        <v>138</v>
      </c>
      <c r="V740" s="221" t="s">
        <v>136</v>
      </c>
      <c r="W740" s="155" t="s">
        <v>7</v>
      </c>
      <c r="X740" s="194" t="s">
        <v>70</v>
      </c>
    </row>
    <row r="741" spans="1:27" ht="13.5" thickBot="1" x14ac:dyDescent="0.25">
      <c r="A741" s="176"/>
      <c r="B741" s="179" t="s">
        <v>23</v>
      </c>
      <c r="C741" s="179" t="s">
        <v>24</v>
      </c>
      <c r="D741" s="179" t="s">
        <v>25</v>
      </c>
      <c r="E741" s="179" t="s">
        <v>26</v>
      </c>
      <c r="F741" s="179" t="s">
        <v>27</v>
      </c>
      <c r="G741" s="195" t="s">
        <v>28</v>
      </c>
      <c r="H741" s="179"/>
      <c r="I741" s="179" t="s">
        <v>29</v>
      </c>
      <c r="J741" s="179" t="s">
        <v>30</v>
      </c>
      <c r="K741" s="179" t="s">
        <v>31</v>
      </c>
      <c r="L741" s="179" t="s">
        <v>32</v>
      </c>
      <c r="M741" s="179" t="s">
        <v>33</v>
      </c>
      <c r="N741" s="179" t="s">
        <v>34</v>
      </c>
      <c r="O741" s="179" t="s">
        <v>35</v>
      </c>
      <c r="P741" s="179" t="s">
        <v>36</v>
      </c>
      <c r="Q741" s="179" t="s">
        <v>37</v>
      </c>
      <c r="R741" s="195" t="s">
        <v>28</v>
      </c>
      <c r="S741" s="195" t="s">
        <v>129</v>
      </c>
      <c r="T741" s="210" t="s">
        <v>130</v>
      </c>
      <c r="U741" s="179" t="s">
        <v>139</v>
      </c>
      <c r="V741" s="222" t="s">
        <v>143</v>
      </c>
      <c r="W741" s="179" t="s">
        <v>181</v>
      </c>
      <c r="X741" s="196" t="s">
        <v>71</v>
      </c>
    </row>
    <row r="742" spans="1:27" x14ac:dyDescent="0.2">
      <c r="A742" s="175"/>
      <c r="B742" s="117"/>
      <c r="C742" s="117"/>
      <c r="D742" s="117"/>
      <c r="E742" s="117"/>
      <c r="F742" s="117"/>
      <c r="G742" s="178"/>
      <c r="H742" s="52"/>
      <c r="I742" s="117"/>
      <c r="J742" s="117"/>
      <c r="K742" s="117"/>
      <c r="L742" s="117"/>
      <c r="M742" s="117"/>
      <c r="N742" s="117"/>
      <c r="O742" s="117"/>
      <c r="P742" s="117"/>
      <c r="Q742" s="117"/>
      <c r="R742" s="178"/>
      <c r="S742" s="208"/>
      <c r="T742" s="185"/>
      <c r="U742" s="185"/>
      <c r="V742" s="185"/>
      <c r="W742" s="185"/>
      <c r="X742" s="183"/>
    </row>
    <row r="743" spans="1:27" x14ac:dyDescent="0.2">
      <c r="A743" s="191" t="s">
        <v>41</v>
      </c>
      <c r="B743" s="91">
        <v>0</v>
      </c>
      <c r="C743" s="91">
        <v>0</v>
      </c>
      <c r="D743" s="91">
        <v>4560000</v>
      </c>
      <c r="E743" s="91">
        <v>5274000</v>
      </c>
      <c r="F743" s="91">
        <v>2604000</v>
      </c>
      <c r="G743" s="180">
        <f>SUM(B743:F743)</f>
        <v>12438000</v>
      </c>
      <c r="H743" s="91"/>
      <c r="I743" s="91">
        <v>5844000</v>
      </c>
      <c r="J743" s="91">
        <v>4014000</v>
      </c>
      <c r="K743" s="91">
        <v>0</v>
      </c>
      <c r="L743" s="91">
        <v>0</v>
      </c>
      <c r="M743" s="91">
        <v>2484000</v>
      </c>
      <c r="N743" s="91">
        <v>0</v>
      </c>
      <c r="O743" s="91">
        <v>0</v>
      </c>
      <c r="P743" s="91">
        <v>978000</v>
      </c>
      <c r="Q743" s="91">
        <v>0</v>
      </c>
      <c r="R743" s="180">
        <f>SUM(I743:Q743)</f>
        <v>13320000</v>
      </c>
      <c r="S743" s="180">
        <v>9625860</v>
      </c>
      <c r="T743" s="91">
        <v>0</v>
      </c>
      <c r="U743" s="86">
        <v>5860</v>
      </c>
      <c r="V743" s="186">
        <v>208000</v>
      </c>
      <c r="W743" s="186">
        <f>R743+G743+S743+T743</f>
        <v>35383860</v>
      </c>
      <c r="X743" s="46"/>
    </row>
    <row r="744" spans="1:27" x14ac:dyDescent="0.2">
      <c r="A744" s="191" t="s">
        <v>42</v>
      </c>
      <c r="B744" s="91">
        <f t="shared" ref="B744:G744" si="323">B730+B743-B696</f>
        <v>2712000</v>
      </c>
      <c r="C744" s="91">
        <f t="shared" si="323"/>
        <v>9690000</v>
      </c>
      <c r="D744" s="91">
        <f t="shared" si="323"/>
        <v>63133577</v>
      </c>
      <c r="E744" s="91">
        <f t="shared" si="323"/>
        <v>64776334</v>
      </c>
      <c r="F744" s="91">
        <f t="shared" si="323"/>
        <v>31492200</v>
      </c>
      <c r="G744" s="180">
        <f t="shared" si="323"/>
        <v>171804111</v>
      </c>
      <c r="H744" s="91"/>
      <c r="I744" s="91">
        <f t="shared" ref="I744:W744" si="324">I730+I743-I696</f>
        <v>58512000</v>
      </c>
      <c r="J744" s="91">
        <f t="shared" si="324"/>
        <v>31212000</v>
      </c>
      <c r="K744" s="91">
        <f t="shared" si="324"/>
        <v>7441500</v>
      </c>
      <c r="L744" s="91">
        <f t="shared" si="324"/>
        <v>7173300</v>
      </c>
      <c r="M744" s="91">
        <f t="shared" si="324"/>
        <v>25350300</v>
      </c>
      <c r="N744" s="91">
        <f t="shared" si="324"/>
        <v>3358000</v>
      </c>
      <c r="O744" s="91">
        <f t="shared" si="324"/>
        <v>0</v>
      </c>
      <c r="P744" s="91">
        <f t="shared" si="324"/>
        <v>21929400</v>
      </c>
      <c r="Q744" s="91">
        <f t="shared" si="324"/>
        <v>2967600</v>
      </c>
      <c r="R744" s="180">
        <f t="shared" si="324"/>
        <v>157944100</v>
      </c>
      <c r="S744" s="180">
        <f t="shared" si="324"/>
        <v>102439124</v>
      </c>
      <c r="T744" s="215">
        <f t="shared" si="324"/>
        <v>35865613.999999993</v>
      </c>
      <c r="U744" s="86">
        <f t="shared" si="324"/>
        <v>4947016</v>
      </c>
      <c r="V744" s="86">
        <f t="shared" si="324"/>
        <v>1768000</v>
      </c>
      <c r="W744" s="186">
        <f t="shared" si="324"/>
        <v>468052949</v>
      </c>
      <c r="X744" s="46">
        <f>X730+W743</f>
        <v>7281060873.467</v>
      </c>
    </row>
    <row r="745" spans="1:27" x14ac:dyDescent="0.2">
      <c r="A745" s="191"/>
      <c r="B745" s="52"/>
      <c r="C745" s="52"/>
      <c r="D745" s="52"/>
      <c r="E745" s="52"/>
      <c r="F745" s="52"/>
      <c r="G745" s="180"/>
      <c r="H745" s="91"/>
      <c r="I745" s="52"/>
      <c r="J745" s="52"/>
      <c r="K745" s="52"/>
      <c r="L745" s="52"/>
      <c r="M745" s="52"/>
      <c r="N745" s="52"/>
      <c r="O745" s="52"/>
      <c r="P745" s="52"/>
      <c r="Q745" s="52"/>
      <c r="R745" s="180"/>
      <c r="S745" s="178"/>
      <c r="T745" s="218"/>
      <c r="U745" s="217"/>
      <c r="V745" s="185"/>
      <c r="W745" s="186"/>
      <c r="X745" s="46"/>
    </row>
    <row r="746" spans="1:27" x14ac:dyDescent="0.2">
      <c r="A746" s="191" t="s">
        <v>43</v>
      </c>
      <c r="B746" s="91">
        <v>0</v>
      </c>
      <c r="C746" s="91">
        <v>0</v>
      </c>
      <c r="D746" s="91">
        <v>6300000</v>
      </c>
      <c r="E746" s="91">
        <v>4446000</v>
      </c>
      <c r="F746" s="91">
        <v>2022000</v>
      </c>
      <c r="G746" s="180">
        <f>SUM(B746:F746)</f>
        <v>12768000</v>
      </c>
      <c r="H746" s="91"/>
      <c r="I746" s="91">
        <v>4800000</v>
      </c>
      <c r="J746" s="91">
        <v>1710000</v>
      </c>
      <c r="K746" s="91">
        <v>0</v>
      </c>
      <c r="L746" s="91">
        <v>0</v>
      </c>
      <c r="M746" s="91">
        <v>3744000</v>
      </c>
      <c r="N746" s="91">
        <v>0</v>
      </c>
      <c r="O746" s="91">
        <v>0</v>
      </c>
      <c r="P746" s="91">
        <v>1506000</v>
      </c>
      <c r="Q746" s="91">
        <v>0</v>
      </c>
      <c r="R746" s="180">
        <f>SUM(I746:Q746)</f>
        <v>11760000</v>
      </c>
      <c r="S746" s="180">
        <v>7820940</v>
      </c>
      <c r="T746" s="91">
        <v>217127</v>
      </c>
      <c r="U746" s="86">
        <v>85940</v>
      </c>
      <c r="V746" s="86">
        <v>0</v>
      </c>
      <c r="W746" s="186">
        <f>R746+G746+S746+T746</f>
        <v>32566067</v>
      </c>
      <c r="X746" s="46"/>
      <c r="AA746" t="s">
        <v>149</v>
      </c>
    </row>
    <row r="747" spans="1:27" x14ac:dyDescent="0.2">
      <c r="A747" s="191" t="s">
        <v>42</v>
      </c>
      <c r="B747" s="91">
        <f t="shared" ref="B747:G747" si="325">B744+B746-B699</f>
        <v>2712000</v>
      </c>
      <c r="C747" s="91">
        <f t="shared" si="325"/>
        <v>9690000</v>
      </c>
      <c r="D747" s="91">
        <f t="shared" si="325"/>
        <v>64921577</v>
      </c>
      <c r="E747" s="91">
        <f t="shared" si="325"/>
        <v>65631334</v>
      </c>
      <c r="F747" s="91">
        <f t="shared" si="325"/>
        <v>30850200</v>
      </c>
      <c r="G747" s="180">
        <f t="shared" si="325"/>
        <v>173805111</v>
      </c>
      <c r="H747" s="91"/>
      <c r="I747" s="91">
        <f t="shared" ref="I747:W747" si="326">I744+I746-I699</f>
        <v>59880000</v>
      </c>
      <c r="J747" s="91">
        <f t="shared" si="326"/>
        <v>32724000</v>
      </c>
      <c r="K747" s="91">
        <f t="shared" si="326"/>
        <v>7441500</v>
      </c>
      <c r="L747" s="91">
        <f t="shared" si="326"/>
        <v>7173300</v>
      </c>
      <c r="M747" s="91">
        <f t="shared" si="326"/>
        <v>29094300</v>
      </c>
      <c r="N747" s="91">
        <f t="shared" si="326"/>
        <v>2988000</v>
      </c>
      <c r="O747" s="91">
        <f t="shared" si="326"/>
        <v>0</v>
      </c>
      <c r="P747" s="91">
        <f t="shared" si="326"/>
        <v>20345400</v>
      </c>
      <c r="Q747" s="91">
        <f t="shared" si="326"/>
        <v>2967600</v>
      </c>
      <c r="R747" s="180">
        <f t="shared" si="326"/>
        <v>162614100</v>
      </c>
      <c r="S747" s="180">
        <f t="shared" si="326"/>
        <v>100779814</v>
      </c>
      <c r="T747" s="215">
        <f t="shared" si="326"/>
        <v>30937750.999999993</v>
      </c>
      <c r="U747" s="86">
        <f t="shared" si="326"/>
        <v>4360706</v>
      </c>
      <c r="V747" s="86">
        <f t="shared" si="326"/>
        <v>1768000</v>
      </c>
      <c r="W747" s="186">
        <f t="shared" si="326"/>
        <v>468136776</v>
      </c>
      <c r="X747" s="46">
        <f>X744+W746</f>
        <v>7313626940.467</v>
      </c>
    </row>
    <row r="748" spans="1:27" x14ac:dyDescent="0.2">
      <c r="A748" s="191"/>
      <c r="B748" s="91"/>
      <c r="C748" s="91"/>
      <c r="D748" s="91"/>
      <c r="E748" s="91"/>
      <c r="F748" s="91"/>
      <c r="G748" s="180"/>
      <c r="H748" s="91"/>
      <c r="I748" s="91"/>
      <c r="J748" s="91"/>
      <c r="K748" s="91"/>
      <c r="L748" s="91"/>
      <c r="M748" s="91"/>
      <c r="N748" s="91"/>
      <c r="O748" s="91"/>
      <c r="P748" s="91"/>
      <c r="Q748" s="91"/>
      <c r="R748" s="180"/>
      <c r="S748" s="178"/>
      <c r="T748" s="218"/>
      <c r="U748" s="217"/>
      <c r="V748" s="185"/>
      <c r="W748" s="186"/>
      <c r="X748" s="46"/>
    </row>
    <row r="749" spans="1:27" x14ac:dyDescent="0.2">
      <c r="A749" s="191" t="s">
        <v>44</v>
      </c>
      <c r="B749" s="91">
        <v>0</v>
      </c>
      <c r="C749" s="91">
        <v>1578000</v>
      </c>
      <c r="D749" s="91">
        <v>5580000</v>
      </c>
      <c r="E749" s="91">
        <v>5958000</v>
      </c>
      <c r="F749" s="91">
        <v>2484000</v>
      </c>
      <c r="G749" s="180">
        <f>SUM(B749:F749)</f>
        <v>15600000</v>
      </c>
      <c r="H749" s="91"/>
      <c r="I749" s="91">
        <v>5268000</v>
      </c>
      <c r="J749" s="91">
        <v>3528000</v>
      </c>
      <c r="K749" s="91">
        <v>1566000</v>
      </c>
      <c r="L749" s="91">
        <v>912000</v>
      </c>
      <c r="M749" s="91">
        <v>4104000</v>
      </c>
      <c r="N749" s="91">
        <v>0</v>
      </c>
      <c r="O749" s="91">
        <v>0</v>
      </c>
      <c r="P749" s="91">
        <v>1638000</v>
      </c>
      <c r="Q749" s="91">
        <v>0</v>
      </c>
      <c r="R749" s="180">
        <f>SUM(I749:Q749)</f>
        <v>17016000</v>
      </c>
      <c r="S749" s="180">
        <v>9084680</v>
      </c>
      <c r="T749" s="91">
        <v>85</v>
      </c>
      <c r="U749" s="86">
        <v>214680</v>
      </c>
      <c r="V749" s="86">
        <v>0</v>
      </c>
      <c r="W749" s="186">
        <f>R749+G749+S749+T749</f>
        <v>41700765</v>
      </c>
      <c r="X749" s="46"/>
    </row>
    <row r="750" spans="1:27" x14ac:dyDescent="0.2">
      <c r="A750" s="191" t="s">
        <v>42</v>
      </c>
      <c r="B750" s="91">
        <f t="shared" ref="B750:G750" si="327">B747+B749-B702</f>
        <v>2712000</v>
      </c>
      <c r="C750" s="91">
        <f t="shared" si="327"/>
        <v>11268000</v>
      </c>
      <c r="D750" s="91">
        <f t="shared" si="327"/>
        <v>65221577</v>
      </c>
      <c r="E750" s="91">
        <f t="shared" si="327"/>
        <v>65487334</v>
      </c>
      <c r="F750" s="91">
        <f t="shared" si="327"/>
        <v>30088200</v>
      </c>
      <c r="G750" s="180">
        <f t="shared" si="327"/>
        <v>174777111</v>
      </c>
      <c r="H750" s="91"/>
      <c r="I750" s="91">
        <f t="shared" ref="I750:W750" si="328">I747+I749-I702</f>
        <v>61380000</v>
      </c>
      <c r="J750" s="91">
        <f t="shared" si="328"/>
        <v>36252000</v>
      </c>
      <c r="K750" s="91">
        <f t="shared" si="328"/>
        <v>9007500</v>
      </c>
      <c r="L750" s="91">
        <f t="shared" si="328"/>
        <v>8085300</v>
      </c>
      <c r="M750" s="91">
        <f t="shared" si="328"/>
        <v>33027300</v>
      </c>
      <c r="N750" s="91">
        <f t="shared" si="328"/>
        <v>2786000</v>
      </c>
      <c r="O750" s="91">
        <f t="shared" si="328"/>
        <v>0</v>
      </c>
      <c r="P750" s="91">
        <f t="shared" si="328"/>
        <v>18827400</v>
      </c>
      <c r="Q750" s="91">
        <f t="shared" si="328"/>
        <v>2967600</v>
      </c>
      <c r="R750" s="180">
        <f t="shared" si="328"/>
        <v>172333100</v>
      </c>
      <c r="S750" s="180">
        <f t="shared" si="328"/>
        <v>99341414</v>
      </c>
      <c r="T750" s="215">
        <f t="shared" si="328"/>
        <v>24286200.999999993</v>
      </c>
      <c r="U750" s="86">
        <f t="shared" si="328"/>
        <v>3314306</v>
      </c>
      <c r="V750" s="86">
        <f t="shared" si="328"/>
        <v>1037000</v>
      </c>
      <c r="W750" s="186">
        <f t="shared" si="328"/>
        <v>470737826</v>
      </c>
      <c r="X750" s="46">
        <f>X747+W749</f>
        <v>7355327705.467</v>
      </c>
    </row>
    <row r="751" spans="1:27" x14ac:dyDescent="0.2">
      <c r="A751" s="191"/>
      <c r="B751" s="52"/>
      <c r="C751" s="52"/>
      <c r="D751" s="52"/>
      <c r="E751" s="52"/>
      <c r="F751" s="52"/>
      <c r="G751" s="180"/>
      <c r="H751" s="91"/>
      <c r="I751" s="52"/>
      <c r="J751" s="52"/>
      <c r="K751" s="52"/>
      <c r="L751" s="52"/>
      <c r="M751" s="52"/>
      <c r="N751" s="52"/>
      <c r="O751" s="52"/>
      <c r="P751" s="52"/>
      <c r="Q751" s="52"/>
      <c r="R751" s="180"/>
      <c r="S751" s="178"/>
      <c r="T751" s="218"/>
      <c r="U751" s="217"/>
      <c r="V751" s="185"/>
      <c r="W751" s="186"/>
      <c r="X751" s="46"/>
    </row>
    <row r="752" spans="1:27" x14ac:dyDescent="0.2">
      <c r="A752" s="191" t="s">
        <v>45</v>
      </c>
      <c r="B752" s="91">
        <v>0</v>
      </c>
      <c r="C752" s="91">
        <v>1974000</v>
      </c>
      <c r="D752" s="91">
        <v>5364000</v>
      </c>
      <c r="E752" s="91">
        <v>4995000</v>
      </c>
      <c r="F752" s="91">
        <v>2514000</v>
      </c>
      <c r="G752" s="180">
        <f>SUM(B752:F752)</f>
        <v>14847000</v>
      </c>
      <c r="H752" s="91"/>
      <c r="I752" s="91">
        <v>5592000</v>
      </c>
      <c r="J752" s="91">
        <v>2925000</v>
      </c>
      <c r="K752" s="91">
        <v>1434000</v>
      </c>
      <c r="L752" s="91">
        <v>1659000</v>
      </c>
      <c r="M752" s="91">
        <v>3546000</v>
      </c>
      <c r="N752" s="91">
        <v>100000</v>
      </c>
      <c r="O752" s="91">
        <v>0</v>
      </c>
      <c r="P752" s="91">
        <v>702000</v>
      </c>
      <c r="Q752" s="91">
        <v>0</v>
      </c>
      <c r="R752" s="180">
        <f>SUM(I752:Q752)</f>
        <v>15958000</v>
      </c>
      <c r="S752" s="180">
        <v>5649870</v>
      </c>
      <c r="T752" s="91">
        <v>3903584</v>
      </c>
      <c r="U752" s="86">
        <v>207870</v>
      </c>
      <c r="V752" s="86">
        <v>71000</v>
      </c>
      <c r="W752" s="186">
        <f>R752+G752+S752+T752</f>
        <v>40358454</v>
      </c>
      <c r="X752" s="46"/>
    </row>
    <row r="753" spans="1:26" x14ac:dyDescent="0.2">
      <c r="A753" s="191" t="s">
        <v>42</v>
      </c>
      <c r="B753" s="91">
        <f t="shared" ref="B753:G753" si="329">B750+B752-B705</f>
        <v>2712000</v>
      </c>
      <c r="C753" s="91">
        <f t="shared" si="329"/>
        <v>13242000</v>
      </c>
      <c r="D753" s="91">
        <f t="shared" si="329"/>
        <v>65533577</v>
      </c>
      <c r="E753" s="91">
        <f t="shared" si="329"/>
        <v>64632334</v>
      </c>
      <c r="F753" s="91">
        <f t="shared" si="329"/>
        <v>29758200</v>
      </c>
      <c r="G753" s="180">
        <f t="shared" si="329"/>
        <v>175878111</v>
      </c>
      <c r="H753" s="91"/>
      <c r="I753" s="91">
        <f t="shared" ref="I753:W753" si="330">I750+I752-I705</f>
        <v>62580000</v>
      </c>
      <c r="J753" s="91">
        <f t="shared" si="330"/>
        <v>38610000</v>
      </c>
      <c r="K753" s="91">
        <f t="shared" si="330"/>
        <v>9568500</v>
      </c>
      <c r="L753" s="91">
        <f t="shared" si="330"/>
        <v>8442300</v>
      </c>
      <c r="M753" s="91">
        <f t="shared" si="330"/>
        <v>34602300</v>
      </c>
      <c r="N753" s="91">
        <f t="shared" si="330"/>
        <v>2398000</v>
      </c>
      <c r="O753" s="91">
        <f t="shared" si="330"/>
        <v>0</v>
      </c>
      <c r="P753" s="91">
        <f t="shared" si="330"/>
        <v>17963400</v>
      </c>
      <c r="Q753" s="91">
        <f t="shared" si="330"/>
        <v>2967600</v>
      </c>
      <c r="R753" s="180">
        <f t="shared" si="330"/>
        <v>177132100</v>
      </c>
      <c r="S753" s="180">
        <f t="shared" si="330"/>
        <v>100822854</v>
      </c>
      <c r="T753" s="215">
        <f t="shared" si="330"/>
        <v>20747003.999999993</v>
      </c>
      <c r="U753" s="86">
        <f t="shared" si="330"/>
        <v>3249746</v>
      </c>
      <c r="V753" s="86">
        <f t="shared" si="330"/>
        <v>1108000</v>
      </c>
      <c r="W753" s="186">
        <f t="shared" si="330"/>
        <v>474580069</v>
      </c>
      <c r="X753" s="46">
        <f>X750+W752</f>
        <v>7395686159.467</v>
      </c>
    </row>
    <row r="754" spans="1:26" x14ac:dyDescent="0.2">
      <c r="A754" s="191"/>
      <c r="B754" s="52"/>
      <c r="C754" s="52"/>
      <c r="D754" s="52"/>
      <c r="E754" s="52"/>
      <c r="F754" s="52"/>
      <c r="G754" s="180"/>
      <c r="H754" s="91"/>
      <c r="I754" s="52"/>
      <c r="J754" s="52"/>
      <c r="K754" s="52"/>
      <c r="L754" s="52"/>
      <c r="M754" s="52"/>
      <c r="N754" s="52"/>
      <c r="O754" s="52"/>
      <c r="P754" s="52"/>
      <c r="Q754" s="52"/>
      <c r="R754" s="180"/>
      <c r="S754" s="180"/>
      <c r="T754" s="44"/>
      <c r="U754" s="86"/>
      <c r="V754" s="186"/>
      <c r="W754" s="186"/>
      <c r="X754" s="46"/>
    </row>
    <row r="755" spans="1:26" x14ac:dyDescent="0.2">
      <c r="A755" s="191" t="s">
        <v>46</v>
      </c>
      <c r="B755" s="91">
        <v>0</v>
      </c>
      <c r="C755" s="91">
        <v>2760000</v>
      </c>
      <c r="D755" s="91">
        <v>3936000</v>
      </c>
      <c r="E755" s="91">
        <v>4905000</v>
      </c>
      <c r="F755" s="91">
        <v>3126000</v>
      </c>
      <c r="G755" s="180">
        <f>SUM(B755:F755)</f>
        <v>14727000</v>
      </c>
      <c r="H755" s="91"/>
      <c r="I755" s="91">
        <v>5556000</v>
      </c>
      <c r="J755" s="91">
        <v>2709000</v>
      </c>
      <c r="K755" s="91">
        <v>1710000</v>
      </c>
      <c r="L755" s="91">
        <v>1662000</v>
      </c>
      <c r="M755" s="91">
        <v>3474000</v>
      </c>
      <c r="N755" s="91">
        <v>0</v>
      </c>
      <c r="O755" s="91">
        <v>0</v>
      </c>
      <c r="P755" s="91">
        <v>990000</v>
      </c>
      <c r="Q755" s="91">
        <v>0</v>
      </c>
      <c r="R755" s="180">
        <f>SUM(I755:Q755)</f>
        <v>16101000</v>
      </c>
      <c r="S755" s="180">
        <v>7881910</v>
      </c>
      <c r="T755" s="91">
        <v>7793181</v>
      </c>
      <c r="U755" s="86">
        <v>242910</v>
      </c>
      <c r="V755" s="86">
        <v>4490</v>
      </c>
      <c r="W755" s="186">
        <f>R755+G755+S755+T755</f>
        <v>46503091</v>
      </c>
      <c r="X755" s="46"/>
    </row>
    <row r="756" spans="1:26" x14ac:dyDescent="0.2">
      <c r="A756" s="191" t="s">
        <v>42</v>
      </c>
      <c r="B756" s="91">
        <f t="shared" ref="B756:G756" si="331">B753+B755-B708</f>
        <v>2668800</v>
      </c>
      <c r="C756" s="91">
        <f t="shared" si="331"/>
        <v>15882000</v>
      </c>
      <c r="D756" s="91">
        <f t="shared" si="331"/>
        <v>63661577</v>
      </c>
      <c r="E756" s="91">
        <f t="shared" si="331"/>
        <v>63219334</v>
      </c>
      <c r="F756" s="91">
        <f t="shared" si="331"/>
        <v>29752200</v>
      </c>
      <c r="G756" s="180">
        <f t="shared" si="331"/>
        <v>175183911</v>
      </c>
      <c r="H756" s="91"/>
      <c r="I756" s="91">
        <f t="shared" ref="I756:W756" si="332">I753+I755-I708</f>
        <v>66456000</v>
      </c>
      <c r="J756" s="91">
        <f t="shared" si="332"/>
        <v>40878000</v>
      </c>
      <c r="K756" s="91">
        <f t="shared" si="332"/>
        <v>11107500</v>
      </c>
      <c r="L756" s="91">
        <f t="shared" si="332"/>
        <v>10098300</v>
      </c>
      <c r="M756" s="91">
        <f t="shared" si="332"/>
        <v>35169300</v>
      </c>
      <c r="N756" s="91">
        <f t="shared" si="332"/>
        <v>1870000</v>
      </c>
      <c r="O756" s="91">
        <f t="shared" si="332"/>
        <v>0</v>
      </c>
      <c r="P756" s="91">
        <f t="shared" si="332"/>
        <v>15419400</v>
      </c>
      <c r="Q756" s="91">
        <f t="shared" si="332"/>
        <v>2967600</v>
      </c>
      <c r="R756" s="180">
        <f t="shared" si="332"/>
        <v>183966100</v>
      </c>
      <c r="S756" s="180">
        <f t="shared" si="332"/>
        <v>102208344</v>
      </c>
      <c r="T756" s="215">
        <f t="shared" si="332"/>
        <v>23106869.999999993</v>
      </c>
      <c r="U756" s="86">
        <f t="shared" si="332"/>
        <v>3178236</v>
      </c>
      <c r="V756" s="86">
        <f t="shared" si="332"/>
        <v>243490</v>
      </c>
      <c r="W756" s="186">
        <f t="shared" si="332"/>
        <v>484465225</v>
      </c>
      <c r="X756" s="46">
        <f>X753+W755</f>
        <v>7442189250.467</v>
      </c>
    </row>
    <row r="757" spans="1:26" x14ac:dyDescent="0.2">
      <c r="A757" s="191"/>
      <c r="B757" s="52"/>
      <c r="C757" s="52"/>
      <c r="D757" s="52"/>
      <c r="E757" s="52"/>
      <c r="F757" s="52"/>
      <c r="G757" s="180"/>
      <c r="H757" s="91"/>
      <c r="I757" s="52"/>
      <c r="J757" s="52"/>
      <c r="K757" s="52"/>
      <c r="L757" s="52"/>
      <c r="M757" s="52"/>
      <c r="N757" s="52"/>
      <c r="O757" s="52"/>
      <c r="P757" s="52"/>
      <c r="Q757" s="52"/>
      <c r="R757" s="180"/>
      <c r="S757" s="180"/>
      <c r="T757" s="44"/>
      <c r="U757" s="86"/>
      <c r="V757" s="186"/>
      <c r="W757" s="186"/>
      <c r="X757" s="46"/>
    </row>
    <row r="758" spans="1:26" x14ac:dyDescent="0.2">
      <c r="A758" s="191" t="s">
        <v>47</v>
      </c>
      <c r="B758" s="91">
        <v>0</v>
      </c>
      <c r="C758" s="91">
        <v>2418000</v>
      </c>
      <c r="D758" s="91">
        <v>4236000</v>
      </c>
      <c r="E758" s="91">
        <v>4905000</v>
      </c>
      <c r="F758" s="91">
        <v>2610000</v>
      </c>
      <c r="G758" s="180">
        <f>SUM(B758:F758)</f>
        <v>14169000</v>
      </c>
      <c r="H758" s="91"/>
      <c r="I758" s="91">
        <v>4164000</v>
      </c>
      <c r="J758" s="91">
        <v>1782000</v>
      </c>
      <c r="K758" s="91">
        <v>1206000</v>
      </c>
      <c r="L758" s="91">
        <v>1041000</v>
      </c>
      <c r="M758" s="91">
        <v>2727000</v>
      </c>
      <c r="N758" s="91">
        <v>570000</v>
      </c>
      <c r="O758" s="91">
        <v>0</v>
      </c>
      <c r="P758" s="91">
        <v>2988000</v>
      </c>
      <c r="Q758" s="91">
        <v>0</v>
      </c>
      <c r="R758" s="180">
        <f>SUM(I758:Q758)</f>
        <v>14478000</v>
      </c>
      <c r="S758" s="180">
        <v>10574910</v>
      </c>
      <c r="T758" s="91">
        <v>5275944</v>
      </c>
      <c r="U758" s="86">
        <v>244910</v>
      </c>
      <c r="V758" s="86">
        <v>0</v>
      </c>
      <c r="W758" s="186">
        <f>R758+G758+S758+T758</f>
        <v>44497854</v>
      </c>
      <c r="X758" s="244" t="s">
        <v>171</v>
      </c>
      <c r="Z758" t="s">
        <v>169</v>
      </c>
    </row>
    <row r="759" spans="1:26" x14ac:dyDescent="0.2">
      <c r="A759" s="191" t="s">
        <v>42</v>
      </c>
      <c r="B759" s="91">
        <f t="shared" ref="B759:G759" si="333">B756+B758-B711</f>
        <v>2280000</v>
      </c>
      <c r="C759" s="91">
        <f t="shared" si="333"/>
        <v>17928000</v>
      </c>
      <c r="D759" s="91">
        <f t="shared" si="333"/>
        <v>61993577</v>
      </c>
      <c r="E759" s="91">
        <f t="shared" si="333"/>
        <v>62616334</v>
      </c>
      <c r="F759" s="91">
        <f t="shared" si="333"/>
        <v>29986200</v>
      </c>
      <c r="G759" s="180">
        <f t="shared" si="333"/>
        <v>174804111</v>
      </c>
      <c r="H759" s="91"/>
      <c r="I759" s="91">
        <f t="shared" ref="I759:W759" si="334">I756+I758-I711</f>
        <v>65148000</v>
      </c>
      <c r="J759" s="91">
        <f t="shared" si="334"/>
        <v>39186000</v>
      </c>
      <c r="K759" s="91">
        <f t="shared" si="334"/>
        <v>12115500</v>
      </c>
      <c r="L759" s="91">
        <f t="shared" si="334"/>
        <v>11031300</v>
      </c>
      <c r="M759" s="91">
        <f t="shared" si="334"/>
        <v>33612300</v>
      </c>
      <c r="N759" s="91">
        <f t="shared" si="334"/>
        <v>1892000</v>
      </c>
      <c r="O759" s="91">
        <f t="shared" si="334"/>
        <v>0</v>
      </c>
      <c r="P759" s="91">
        <f t="shared" si="334"/>
        <v>15671400</v>
      </c>
      <c r="Q759" s="91">
        <f t="shared" si="334"/>
        <v>2859600</v>
      </c>
      <c r="R759" s="180">
        <f t="shared" si="334"/>
        <v>181516100</v>
      </c>
      <c r="S759" s="180">
        <f t="shared" si="334"/>
        <v>105087430</v>
      </c>
      <c r="T759" s="215">
        <f t="shared" si="334"/>
        <v>24385430.999999993</v>
      </c>
      <c r="U759" s="86">
        <f t="shared" si="334"/>
        <v>2906426</v>
      </c>
      <c r="V759" s="86">
        <f t="shared" si="334"/>
        <v>-16510</v>
      </c>
      <c r="W759" s="186">
        <f t="shared" si="334"/>
        <v>485793072</v>
      </c>
      <c r="X759" s="46">
        <f>X756+W758</f>
        <v>7486687104.467</v>
      </c>
    </row>
    <row r="760" spans="1:26" x14ac:dyDescent="0.2">
      <c r="A760" s="191"/>
      <c r="B760" s="52"/>
      <c r="C760" s="52"/>
      <c r="D760" s="52"/>
      <c r="E760" s="52"/>
      <c r="F760" s="52"/>
      <c r="G760" s="180"/>
      <c r="H760" s="91"/>
      <c r="I760" s="52"/>
      <c r="J760" s="52"/>
      <c r="K760" s="52"/>
      <c r="L760" s="52"/>
      <c r="M760" s="52"/>
      <c r="N760" s="52"/>
      <c r="O760" s="52"/>
      <c r="P760" s="52"/>
      <c r="Q760" s="52"/>
      <c r="R760" s="180"/>
      <c r="S760" s="180" t="s">
        <v>105</v>
      </c>
      <c r="T760" s="44"/>
      <c r="U760" s="86"/>
      <c r="V760" s="186"/>
      <c r="W760" s="186"/>
      <c r="X760" s="46"/>
    </row>
    <row r="761" spans="1:26" x14ac:dyDescent="0.2">
      <c r="A761" s="191" t="s">
        <v>48</v>
      </c>
      <c r="B761" s="91">
        <v>0</v>
      </c>
      <c r="C761" s="91">
        <v>2514000</v>
      </c>
      <c r="D761" s="91">
        <v>3384000</v>
      </c>
      <c r="E761" s="91">
        <v>5517000</v>
      </c>
      <c r="F761" s="91">
        <v>2712000</v>
      </c>
      <c r="G761" s="180">
        <f>SUM(B761:F761)</f>
        <v>14127000</v>
      </c>
      <c r="H761" s="91"/>
      <c r="I761" s="91">
        <v>5268000</v>
      </c>
      <c r="J761" s="91">
        <v>3366000</v>
      </c>
      <c r="K761" s="91">
        <v>1395000</v>
      </c>
      <c r="L761" s="91">
        <v>1179000</v>
      </c>
      <c r="M761" s="91">
        <v>3024000</v>
      </c>
      <c r="N761" s="91">
        <v>166000</v>
      </c>
      <c r="O761" s="91">
        <v>0</v>
      </c>
      <c r="P761" s="91">
        <v>3438000</v>
      </c>
      <c r="Q761" s="91">
        <v>0</v>
      </c>
      <c r="R761" s="180">
        <f>SUM(I761:Q761)</f>
        <v>17836000</v>
      </c>
      <c r="S761" s="180">
        <f>8433000+371930</f>
        <v>8804930</v>
      </c>
      <c r="T761" s="91">
        <v>5851474</v>
      </c>
      <c r="U761" s="86">
        <v>371930</v>
      </c>
      <c r="V761" s="86">
        <v>0</v>
      </c>
      <c r="W761" s="186">
        <f>R761+G761+S761+T761</f>
        <v>46619404</v>
      </c>
      <c r="X761" s="46"/>
    </row>
    <row r="762" spans="1:26" x14ac:dyDescent="0.2">
      <c r="A762" s="191" t="s">
        <v>42</v>
      </c>
      <c r="B762" s="91">
        <f t="shared" ref="B762:G762" si="335">B759+B761-B714</f>
        <v>1891200</v>
      </c>
      <c r="C762" s="91">
        <f t="shared" si="335"/>
        <v>17238000</v>
      </c>
      <c r="D762" s="91">
        <f t="shared" si="335"/>
        <v>60193577</v>
      </c>
      <c r="E762" s="91">
        <f t="shared" si="335"/>
        <v>62355334</v>
      </c>
      <c r="F762" s="91">
        <f t="shared" si="335"/>
        <v>29626200</v>
      </c>
      <c r="G762" s="180">
        <f t="shared" si="335"/>
        <v>171304311</v>
      </c>
      <c r="H762" s="91"/>
      <c r="I762" s="91">
        <f t="shared" ref="I762:W762" si="336">I759+I761-I714</f>
        <v>64620000</v>
      </c>
      <c r="J762" s="91">
        <f t="shared" si="336"/>
        <v>38835000</v>
      </c>
      <c r="K762" s="91">
        <f t="shared" si="336"/>
        <v>11785500</v>
      </c>
      <c r="L762" s="91">
        <f t="shared" si="336"/>
        <v>10620300</v>
      </c>
      <c r="M762" s="91">
        <f t="shared" si="336"/>
        <v>33234300</v>
      </c>
      <c r="N762" s="91">
        <f t="shared" si="336"/>
        <v>1518000</v>
      </c>
      <c r="O762" s="91">
        <f t="shared" si="336"/>
        <v>0</v>
      </c>
      <c r="P762" s="91">
        <f t="shared" si="336"/>
        <v>15653400</v>
      </c>
      <c r="Q762" s="91">
        <f t="shared" si="336"/>
        <v>1339600</v>
      </c>
      <c r="R762" s="180">
        <f t="shared" si="336"/>
        <v>177606100</v>
      </c>
      <c r="S762" s="180">
        <f t="shared" si="336"/>
        <v>103288860</v>
      </c>
      <c r="T762" s="215">
        <f t="shared" si="336"/>
        <v>25695259.999999993</v>
      </c>
      <c r="U762" s="86">
        <f t="shared" si="336"/>
        <v>2607856</v>
      </c>
      <c r="V762" s="86">
        <f t="shared" si="336"/>
        <v>141490</v>
      </c>
      <c r="W762" s="186">
        <f t="shared" si="336"/>
        <v>477894531</v>
      </c>
      <c r="X762" s="46">
        <f>X759+W761</f>
        <v>7533306508.467</v>
      </c>
    </row>
    <row r="763" spans="1:26" x14ac:dyDescent="0.2">
      <c r="A763" s="191"/>
      <c r="B763" s="52"/>
      <c r="C763" s="52"/>
      <c r="D763" s="52"/>
      <c r="E763" s="52"/>
      <c r="F763" s="52"/>
      <c r="G763" s="180"/>
      <c r="H763" s="91"/>
      <c r="I763" s="52"/>
      <c r="J763" s="52"/>
      <c r="K763" s="52"/>
      <c r="L763" s="52"/>
      <c r="M763" s="52"/>
      <c r="N763" s="52"/>
      <c r="O763" s="52"/>
      <c r="P763" s="52"/>
      <c r="Q763" s="52"/>
      <c r="R763" s="180"/>
      <c r="S763" s="180"/>
      <c r="T763" s="44"/>
      <c r="U763" s="86"/>
      <c r="V763" s="186"/>
      <c r="W763" s="186"/>
      <c r="X763" s="46"/>
    </row>
    <row r="764" spans="1:26" x14ac:dyDescent="0.2">
      <c r="A764" s="191" t="s">
        <v>49</v>
      </c>
      <c r="B764" s="91">
        <v>0</v>
      </c>
      <c r="C764" s="91">
        <v>2364000</v>
      </c>
      <c r="D764" s="91">
        <v>3924000</v>
      </c>
      <c r="E764" s="91">
        <v>6399000</v>
      </c>
      <c r="F764" s="91">
        <v>3006000</v>
      </c>
      <c r="G764" s="180">
        <f>SUM(B764:F764)</f>
        <v>15693000</v>
      </c>
      <c r="H764" s="91"/>
      <c r="I764" s="91">
        <v>4524000</v>
      </c>
      <c r="J764" s="91">
        <v>513000</v>
      </c>
      <c r="K764" s="91">
        <v>1035000</v>
      </c>
      <c r="L764" s="91">
        <v>954000</v>
      </c>
      <c r="M764" s="91">
        <v>2970000</v>
      </c>
      <c r="N764" s="91">
        <v>628000</v>
      </c>
      <c r="O764" s="91">
        <v>0</v>
      </c>
      <c r="P764" s="91">
        <v>3558000</v>
      </c>
      <c r="Q764" s="91">
        <v>0</v>
      </c>
      <c r="R764" s="180">
        <f>SUM(I764:Q764)</f>
        <v>14182000</v>
      </c>
      <c r="S764" s="180">
        <f>8606478-U764*0</f>
        <v>8606478</v>
      </c>
      <c r="T764" s="91">
        <v>7071879</v>
      </c>
      <c r="U764" s="86">
        <v>242478</v>
      </c>
      <c r="V764" s="86">
        <v>0</v>
      </c>
      <c r="W764" s="186">
        <f>R764+G764+S764+T764</f>
        <v>45553357</v>
      </c>
      <c r="X764" s="46"/>
    </row>
    <row r="765" spans="1:26" x14ac:dyDescent="0.2">
      <c r="A765" s="191" t="s">
        <v>42</v>
      </c>
      <c r="B765" s="91">
        <f t="shared" ref="B765:G765" si="337">B762+B764-B717</f>
        <v>1387200</v>
      </c>
      <c r="C765" s="91">
        <f t="shared" si="337"/>
        <v>16512000</v>
      </c>
      <c r="D765" s="91">
        <f t="shared" si="337"/>
        <v>58681577</v>
      </c>
      <c r="E765" s="91">
        <f t="shared" si="337"/>
        <v>62796334</v>
      </c>
      <c r="F765" s="91">
        <f t="shared" si="337"/>
        <v>29482200</v>
      </c>
      <c r="G765" s="180">
        <f t="shared" si="337"/>
        <v>168859311</v>
      </c>
      <c r="H765" s="91"/>
      <c r="I765" s="91">
        <f t="shared" ref="I765:W765" si="338">I762+I764-I717</f>
        <v>62844000</v>
      </c>
      <c r="J765" s="91">
        <f t="shared" si="338"/>
        <v>35838000</v>
      </c>
      <c r="K765" s="91">
        <f t="shared" si="338"/>
        <v>11086500</v>
      </c>
      <c r="L765" s="91">
        <f t="shared" si="338"/>
        <v>9981300</v>
      </c>
      <c r="M765" s="91">
        <f t="shared" si="338"/>
        <v>33054300</v>
      </c>
      <c r="N765" s="91">
        <f t="shared" si="338"/>
        <v>1664000</v>
      </c>
      <c r="O765" s="91">
        <f t="shared" si="338"/>
        <v>0</v>
      </c>
      <c r="P765" s="91">
        <f t="shared" si="338"/>
        <v>17963400</v>
      </c>
      <c r="Q765" s="91">
        <f t="shared" si="338"/>
        <v>1083600</v>
      </c>
      <c r="R765" s="180">
        <f t="shared" si="338"/>
        <v>173515100</v>
      </c>
      <c r="S765" s="180">
        <f t="shared" si="338"/>
        <v>100997708</v>
      </c>
      <c r="T765" s="215">
        <f t="shared" si="338"/>
        <v>32699363.999999993</v>
      </c>
      <c r="U765" s="86">
        <f t="shared" si="338"/>
        <v>2381708</v>
      </c>
      <c r="V765" s="86">
        <f t="shared" si="338"/>
        <v>89490</v>
      </c>
      <c r="W765" s="186">
        <f t="shared" si="338"/>
        <v>476071483</v>
      </c>
      <c r="X765" s="46">
        <f>X762+W764</f>
        <v>7578859865.467</v>
      </c>
    </row>
    <row r="766" spans="1:26" x14ac:dyDescent="0.2">
      <c r="A766" s="191"/>
      <c r="B766" s="52"/>
      <c r="C766" s="52"/>
      <c r="D766" s="52"/>
      <c r="E766" s="52"/>
      <c r="F766" s="52"/>
      <c r="G766" s="180"/>
      <c r="H766" s="91"/>
      <c r="I766" s="52"/>
      <c r="J766" s="52"/>
      <c r="K766" s="52"/>
      <c r="L766" s="52"/>
      <c r="M766" s="52"/>
      <c r="N766" s="52"/>
      <c r="O766" s="52"/>
      <c r="P766" s="52"/>
      <c r="Q766" s="52"/>
      <c r="R766" s="180"/>
      <c r="S766" s="180"/>
      <c r="T766" s="44"/>
      <c r="U766" s="86"/>
      <c r="V766" s="186"/>
      <c r="W766" s="186"/>
      <c r="X766" s="46"/>
    </row>
    <row r="767" spans="1:26" x14ac:dyDescent="0.2">
      <c r="A767" s="191" t="s">
        <v>50</v>
      </c>
      <c r="B767" s="91">
        <v>0</v>
      </c>
      <c r="C767" s="91">
        <v>1380000</v>
      </c>
      <c r="D767" s="91">
        <v>5340000</v>
      </c>
      <c r="E767" s="91">
        <v>5805000</v>
      </c>
      <c r="F767" s="91">
        <v>2916000</v>
      </c>
      <c r="G767" s="180">
        <f>SUM(B767:F767)</f>
        <v>15441000</v>
      </c>
      <c r="H767" s="91"/>
      <c r="I767" s="91">
        <v>5040000</v>
      </c>
      <c r="J767" s="91">
        <v>1395000</v>
      </c>
      <c r="K767" s="91">
        <v>960000</v>
      </c>
      <c r="L767" s="91">
        <v>936000</v>
      </c>
      <c r="M767" s="91">
        <v>3303000</v>
      </c>
      <c r="N767" s="91">
        <v>690000</v>
      </c>
      <c r="O767" s="91">
        <v>0</v>
      </c>
      <c r="P767" s="91">
        <v>3072000</v>
      </c>
      <c r="Q767" s="91">
        <v>0</v>
      </c>
      <c r="R767" s="180">
        <f>SUM(I767:Q767)</f>
        <v>15396000</v>
      </c>
      <c r="S767" s="180">
        <f>10207130-U767*0</f>
        <v>10207130</v>
      </c>
      <c r="T767" s="91">
        <v>5407016</v>
      </c>
      <c r="U767" s="86">
        <v>367130</v>
      </c>
      <c r="V767" s="86">
        <v>0</v>
      </c>
      <c r="W767" s="186">
        <f>R767+G767+S767+T767</f>
        <v>46451146</v>
      </c>
      <c r="X767" s="46"/>
    </row>
    <row r="768" spans="1:26" x14ac:dyDescent="0.2">
      <c r="A768" s="191" t="s">
        <v>42</v>
      </c>
      <c r="B768" s="91">
        <f t="shared" ref="B768:G768" si="339">B765+B767-B720</f>
        <v>964800</v>
      </c>
      <c r="C768" s="91">
        <f t="shared" si="339"/>
        <v>15984000</v>
      </c>
      <c r="D768" s="91">
        <f t="shared" si="339"/>
        <v>58285577</v>
      </c>
      <c r="E768" s="91">
        <f t="shared" si="339"/>
        <v>63237334</v>
      </c>
      <c r="F768" s="91">
        <f t="shared" si="339"/>
        <v>29932200</v>
      </c>
      <c r="G768" s="180">
        <f t="shared" si="339"/>
        <v>168403911</v>
      </c>
      <c r="H768" s="91"/>
      <c r="I768" s="91">
        <f t="shared" ref="I768:W768" si="340">I765+I767-I720</f>
        <v>61656000</v>
      </c>
      <c r="J768" s="91">
        <f t="shared" si="340"/>
        <v>33381000</v>
      </c>
      <c r="K768" s="91">
        <f t="shared" si="340"/>
        <v>10507500</v>
      </c>
      <c r="L768" s="91">
        <f t="shared" si="340"/>
        <v>9285300</v>
      </c>
      <c r="M768" s="91">
        <f t="shared" si="340"/>
        <v>33054300</v>
      </c>
      <c r="N768" s="91">
        <f t="shared" si="340"/>
        <v>2154000</v>
      </c>
      <c r="O768" s="91">
        <f t="shared" si="340"/>
        <v>0</v>
      </c>
      <c r="P768" s="91">
        <f t="shared" si="340"/>
        <v>20519400</v>
      </c>
      <c r="Q768" s="91">
        <f t="shared" si="340"/>
        <v>1083600</v>
      </c>
      <c r="R768" s="180">
        <f t="shared" si="340"/>
        <v>171641100</v>
      </c>
      <c r="S768" s="180">
        <f t="shared" si="340"/>
        <v>102331488</v>
      </c>
      <c r="T768" s="215">
        <f t="shared" si="340"/>
        <v>38106379.999999993</v>
      </c>
      <c r="U768" s="86">
        <f t="shared" si="340"/>
        <v>2297488</v>
      </c>
      <c r="V768" s="86">
        <f t="shared" si="340"/>
        <v>89490</v>
      </c>
      <c r="W768" s="186">
        <f t="shared" si="340"/>
        <v>480482879</v>
      </c>
      <c r="X768" s="46">
        <f>X765+W767</f>
        <v>7625311011.467</v>
      </c>
    </row>
    <row r="769" spans="1:24" x14ac:dyDescent="0.2">
      <c r="A769" s="191"/>
      <c r="B769" s="52"/>
      <c r="C769" s="52"/>
      <c r="D769" s="52"/>
      <c r="E769" s="52"/>
      <c r="F769" s="52"/>
      <c r="G769" s="180"/>
      <c r="H769" s="91"/>
      <c r="I769" s="52"/>
      <c r="J769" s="52"/>
      <c r="K769" s="52"/>
      <c r="L769" s="52"/>
      <c r="M769" s="52"/>
      <c r="N769" s="52"/>
      <c r="O769" s="52"/>
      <c r="P769" s="52"/>
      <c r="Q769" s="52"/>
      <c r="R769" s="180"/>
      <c r="S769" s="180"/>
      <c r="T769" s="44"/>
      <c r="U769" s="86"/>
      <c r="V769" s="186"/>
      <c r="W769" s="186"/>
      <c r="X769" s="46"/>
    </row>
    <row r="770" spans="1:24" x14ac:dyDescent="0.2">
      <c r="A770" s="191" t="s">
        <v>51</v>
      </c>
      <c r="B770" s="91">
        <v>0</v>
      </c>
      <c r="C770" s="91">
        <v>0</v>
      </c>
      <c r="D770" s="91">
        <v>5388000</v>
      </c>
      <c r="E770" s="91">
        <v>6165000</v>
      </c>
      <c r="F770" s="91">
        <v>2406000</v>
      </c>
      <c r="G770" s="180">
        <f>SUM(B770:F770)</f>
        <v>13959000</v>
      </c>
      <c r="H770" s="91"/>
      <c r="I770" s="91">
        <v>5412000</v>
      </c>
      <c r="J770" s="91">
        <v>3330000</v>
      </c>
      <c r="K770" s="91">
        <v>477000</v>
      </c>
      <c r="L770" s="91">
        <v>486000</v>
      </c>
      <c r="M770" s="91">
        <v>3051000</v>
      </c>
      <c r="N770" s="91">
        <v>282000</v>
      </c>
      <c r="O770" s="91">
        <v>0</v>
      </c>
      <c r="P770" s="91">
        <v>1302000</v>
      </c>
      <c r="Q770" s="91">
        <v>0</v>
      </c>
      <c r="R770" s="180">
        <f>SUM(I770:Q770)</f>
        <v>14340000</v>
      </c>
      <c r="S770" s="86">
        <f>7737000+225140</f>
        <v>7962140</v>
      </c>
      <c r="T770" s="91">
        <v>4584447</v>
      </c>
      <c r="U770" s="86">
        <f>225140</f>
        <v>225140</v>
      </c>
      <c r="V770" s="86">
        <v>0</v>
      </c>
      <c r="W770" s="186">
        <f>R770+G770+S770+T770</f>
        <v>40845587</v>
      </c>
      <c r="X770" s="46"/>
    </row>
    <row r="771" spans="1:24" x14ac:dyDescent="0.2">
      <c r="A771" s="191" t="s">
        <v>42</v>
      </c>
      <c r="B771" s="91">
        <f t="shared" ref="B771:G771" si="341">B768+B770-B723</f>
        <v>681600</v>
      </c>
      <c r="C771" s="91">
        <f t="shared" si="341"/>
        <v>15504000</v>
      </c>
      <c r="D771" s="91">
        <f t="shared" si="341"/>
        <v>58573577</v>
      </c>
      <c r="E771" s="91">
        <f t="shared" si="341"/>
        <v>64704334</v>
      </c>
      <c r="F771" s="91">
        <f t="shared" si="341"/>
        <v>29782200</v>
      </c>
      <c r="G771" s="180">
        <f t="shared" si="341"/>
        <v>169245711</v>
      </c>
      <c r="H771" s="91"/>
      <c r="I771" s="91">
        <f t="shared" ref="I771:W771" si="342">I768+I770-I723</f>
        <v>61920000</v>
      </c>
      <c r="J771" s="91">
        <f t="shared" si="342"/>
        <v>33246000</v>
      </c>
      <c r="K771" s="91">
        <f t="shared" si="342"/>
        <v>10507500</v>
      </c>
      <c r="L771" s="91">
        <f t="shared" si="342"/>
        <v>9549300</v>
      </c>
      <c r="M771" s="91">
        <f t="shared" si="342"/>
        <v>33396300</v>
      </c>
      <c r="N771" s="91">
        <f t="shared" si="342"/>
        <v>2436000</v>
      </c>
      <c r="O771" s="91">
        <f t="shared" si="342"/>
        <v>0</v>
      </c>
      <c r="P771" s="91">
        <f t="shared" si="342"/>
        <v>20867400</v>
      </c>
      <c r="Q771" s="91">
        <f t="shared" si="342"/>
        <v>1083600</v>
      </c>
      <c r="R771" s="180">
        <f t="shared" si="342"/>
        <v>173006100</v>
      </c>
      <c r="S771" s="180">
        <f t="shared" si="342"/>
        <v>101962548</v>
      </c>
      <c r="T771" s="215">
        <f t="shared" si="342"/>
        <v>41892343.999999993</v>
      </c>
      <c r="U771" s="86">
        <f t="shared" si="342"/>
        <v>2422548</v>
      </c>
      <c r="V771" s="86">
        <f t="shared" si="342"/>
        <v>278490</v>
      </c>
      <c r="W771" s="186">
        <f t="shared" si="342"/>
        <v>486106703</v>
      </c>
      <c r="X771" s="46">
        <f>X768+W770</f>
        <v>7666156598.467</v>
      </c>
    </row>
    <row r="772" spans="1:24" x14ac:dyDescent="0.2">
      <c r="A772" s="191"/>
      <c r="B772" s="52"/>
      <c r="C772" s="52"/>
      <c r="D772" s="52"/>
      <c r="E772" s="52"/>
      <c r="F772" s="52"/>
      <c r="G772" s="180"/>
      <c r="H772" s="91"/>
      <c r="I772" s="52"/>
      <c r="J772" s="52"/>
      <c r="K772" s="52"/>
      <c r="L772" s="52"/>
      <c r="M772" s="52"/>
      <c r="N772" s="52"/>
      <c r="O772" s="52"/>
      <c r="P772" s="52"/>
      <c r="Q772" s="52"/>
      <c r="R772" s="180"/>
      <c r="S772" s="180"/>
      <c r="T772" s="44"/>
      <c r="U772" s="86"/>
      <c r="V772" s="186"/>
      <c r="W772" s="186"/>
      <c r="X772" s="46"/>
    </row>
    <row r="773" spans="1:24" x14ac:dyDescent="0.2">
      <c r="A773" s="191" t="s">
        <v>52</v>
      </c>
      <c r="B773" s="91">
        <v>0</v>
      </c>
      <c r="C773" s="91">
        <v>85800</v>
      </c>
      <c r="D773" s="91">
        <v>4747500</v>
      </c>
      <c r="E773" s="91">
        <v>5324500</v>
      </c>
      <c r="F773" s="91">
        <v>2245500</v>
      </c>
      <c r="G773" s="180">
        <f>SUM(B773:F773)</f>
        <v>12403300</v>
      </c>
      <c r="H773" s="91"/>
      <c r="I773" s="91">
        <v>4980000</v>
      </c>
      <c r="J773" s="91">
        <v>3132000</v>
      </c>
      <c r="K773" s="91">
        <v>396000</v>
      </c>
      <c r="L773" s="91">
        <v>429000</v>
      </c>
      <c r="M773" s="91">
        <v>3276000</v>
      </c>
      <c r="N773" s="91">
        <v>254000</v>
      </c>
      <c r="O773" s="91">
        <v>0</v>
      </c>
      <c r="P773" s="91">
        <v>438000</v>
      </c>
      <c r="Q773" s="91">
        <v>0</v>
      </c>
      <c r="R773" s="180">
        <f>SUM(I773:Q773)</f>
        <v>12905000</v>
      </c>
      <c r="S773" s="180">
        <v>7363790</v>
      </c>
      <c r="T773" s="91">
        <v>89</v>
      </c>
      <c r="U773" s="86">
        <v>276790</v>
      </c>
      <c r="V773" s="86">
        <v>0</v>
      </c>
      <c r="W773" s="186">
        <f>R773+G773+S773+T773</f>
        <v>32672179</v>
      </c>
      <c r="X773" s="46"/>
    </row>
    <row r="774" spans="1:24" x14ac:dyDescent="0.2">
      <c r="A774" s="191" t="s">
        <v>42</v>
      </c>
      <c r="B774" s="91">
        <f t="shared" ref="B774:G774" si="343">B771+B773-B726</f>
        <v>206400</v>
      </c>
      <c r="C774" s="91">
        <f t="shared" si="343"/>
        <v>15073800</v>
      </c>
      <c r="D774" s="91">
        <f t="shared" si="343"/>
        <v>58221077</v>
      </c>
      <c r="E774" s="91">
        <f t="shared" si="343"/>
        <v>65123834</v>
      </c>
      <c r="F774" s="91">
        <f t="shared" si="343"/>
        <v>29561700</v>
      </c>
      <c r="G774" s="180">
        <f t="shared" si="343"/>
        <v>168186811</v>
      </c>
      <c r="H774" s="91"/>
      <c r="I774" s="91">
        <f t="shared" ref="I774:W774" si="344">I771+I773-I726</f>
        <v>61980000</v>
      </c>
      <c r="J774" s="91">
        <f t="shared" si="344"/>
        <v>32499000</v>
      </c>
      <c r="K774" s="91">
        <f t="shared" si="344"/>
        <v>10317000</v>
      </c>
      <c r="L774" s="91">
        <f t="shared" si="344"/>
        <v>9453000</v>
      </c>
      <c r="M774" s="91">
        <f t="shared" si="344"/>
        <v>35703000</v>
      </c>
      <c r="N774" s="91">
        <f t="shared" si="344"/>
        <v>2690000</v>
      </c>
      <c r="O774" s="91">
        <f t="shared" si="344"/>
        <v>0</v>
      </c>
      <c r="P774" s="91">
        <f t="shared" si="344"/>
        <v>20784000</v>
      </c>
      <c r="Q774" s="91">
        <f t="shared" si="344"/>
        <v>740000</v>
      </c>
      <c r="R774" s="180">
        <f t="shared" si="344"/>
        <v>174166000</v>
      </c>
      <c r="S774" s="180">
        <f t="shared" si="344"/>
        <v>102879638</v>
      </c>
      <c r="T774" s="215">
        <f t="shared" si="344"/>
        <v>40580493.999999993</v>
      </c>
      <c r="U774" s="86">
        <f t="shared" si="344"/>
        <v>2594638</v>
      </c>
      <c r="V774" s="86">
        <f t="shared" si="344"/>
        <v>283490</v>
      </c>
      <c r="W774" s="186">
        <f t="shared" si="344"/>
        <v>485812943</v>
      </c>
      <c r="X774" s="46">
        <f>X771+W773</f>
        <v>7698828777.467</v>
      </c>
    </row>
    <row r="775" spans="1:24" x14ac:dyDescent="0.2">
      <c r="A775" s="191"/>
      <c r="B775" s="52"/>
      <c r="C775" s="52"/>
      <c r="D775" s="52"/>
      <c r="E775" s="52"/>
      <c r="F775" s="52"/>
      <c r="G775" s="180"/>
      <c r="H775" s="91"/>
      <c r="I775" s="52"/>
      <c r="J775" s="52"/>
      <c r="K775" s="52"/>
      <c r="L775" s="52"/>
      <c r="M775" s="52"/>
      <c r="N775" s="52"/>
      <c r="O775" s="52"/>
      <c r="P775" s="52"/>
      <c r="Q775" s="52"/>
      <c r="R775" s="180"/>
      <c r="S775" s="180"/>
      <c r="T775" s="44"/>
      <c r="U775" s="86"/>
      <c r="V775" s="186"/>
      <c r="W775" s="186"/>
      <c r="X775" s="46"/>
    </row>
    <row r="776" spans="1:24" x14ac:dyDescent="0.2">
      <c r="A776" s="191" t="s">
        <v>53</v>
      </c>
      <c r="B776" s="91">
        <v>0</v>
      </c>
      <c r="C776" s="91">
        <v>1771580</v>
      </c>
      <c r="D776" s="91">
        <v>5018669</v>
      </c>
      <c r="E776" s="91">
        <v>5737175</v>
      </c>
      <c r="F776" s="91">
        <v>1871660</v>
      </c>
      <c r="G776" s="180">
        <f>SUM(B776:F776)</f>
        <v>14399084</v>
      </c>
      <c r="H776" s="91"/>
      <c r="I776" s="91">
        <v>5256000</v>
      </c>
      <c r="J776" s="91">
        <v>3384000</v>
      </c>
      <c r="K776" s="91">
        <v>1248000</v>
      </c>
      <c r="L776" s="91">
        <v>1278000</v>
      </c>
      <c r="M776" s="91">
        <v>2745000</v>
      </c>
      <c r="N776" s="91">
        <v>150000</v>
      </c>
      <c r="O776" s="91">
        <v>0</v>
      </c>
      <c r="P776" s="91">
        <v>0</v>
      </c>
      <c r="Q776" s="91">
        <v>0</v>
      </c>
      <c r="R776" s="180">
        <f>SUM(I776:Q776)</f>
        <v>14061000</v>
      </c>
      <c r="S776" s="180">
        <v>5572430</v>
      </c>
      <c r="T776" s="91">
        <v>0</v>
      </c>
      <c r="U776" s="86">
        <v>-12570</v>
      </c>
      <c r="V776" s="86">
        <v>0</v>
      </c>
      <c r="W776" s="186">
        <f>R776+G776+S776+T776</f>
        <v>34032514</v>
      </c>
      <c r="X776" s="46"/>
    </row>
    <row r="777" spans="1:24" ht="13.5" thickBot="1" x14ac:dyDescent="0.25">
      <c r="A777" s="192" t="s">
        <v>42</v>
      </c>
      <c r="B777" s="187">
        <f t="shared" ref="B777:G777" si="345">B774+B776-B729</f>
        <v>0</v>
      </c>
      <c r="C777" s="187">
        <f t="shared" si="345"/>
        <v>16845380</v>
      </c>
      <c r="D777" s="187">
        <f t="shared" si="345"/>
        <v>57778169</v>
      </c>
      <c r="E777" s="187">
        <f t="shared" si="345"/>
        <v>65430675</v>
      </c>
      <c r="F777" s="187">
        <f t="shared" si="345"/>
        <v>30517160</v>
      </c>
      <c r="G777" s="188">
        <f t="shared" si="345"/>
        <v>170571384</v>
      </c>
      <c r="H777" s="187"/>
      <c r="I777" s="187">
        <f t="shared" ref="I777:W777" si="346">I774+I776-I729</f>
        <v>61704000</v>
      </c>
      <c r="J777" s="187">
        <f t="shared" si="346"/>
        <v>31788000</v>
      </c>
      <c r="K777" s="187">
        <f t="shared" si="346"/>
        <v>11427000</v>
      </c>
      <c r="L777" s="187">
        <f t="shared" si="346"/>
        <v>10536000</v>
      </c>
      <c r="M777" s="187">
        <f t="shared" si="346"/>
        <v>38448000</v>
      </c>
      <c r="N777" s="187">
        <f t="shared" si="346"/>
        <v>2840000</v>
      </c>
      <c r="O777" s="187">
        <f t="shared" si="346"/>
        <v>0</v>
      </c>
      <c r="P777" s="187">
        <f t="shared" si="346"/>
        <v>20610000</v>
      </c>
      <c r="Q777" s="187">
        <f t="shared" si="346"/>
        <v>0</v>
      </c>
      <c r="R777" s="188">
        <f t="shared" si="346"/>
        <v>177353000</v>
      </c>
      <c r="S777" s="188">
        <f t="shared" si="346"/>
        <v>99155068</v>
      </c>
      <c r="T777" s="212">
        <f t="shared" si="346"/>
        <v>40104825.999999993</v>
      </c>
      <c r="U777" s="212">
        <f t="shared" si="346"/>
        <v>2473068</v>
      </c>
      <c r="V777" s="224">
        <f t="shared" si="346"/>
        <v>283490</v>
      </c>
      <c r="W777" s="189">
        <f t="shared" si="346"/>
        <v>487184278</v>
      </c>
      <c r="X777" s="190">
        <f>X774+W776</f>
        <v>7732861291.467</v>
      </c>
    </row>
    <row r="778" spans="1:24" x14ac:dyDescent="0.2">
      <c r="A778" s="211" t="s">
        <v>128</v>
      </c>
    </row>
    <row r="779" spans="1:24" x14ac:dyDescent="0.2">
      <c r="A779" s="211" t="s">
        <v>142</v>
      </c>
      <c r="P779" t="s">
        <v>190</v>
      </c>
      <c r="T779" s="219"/>
    </row>
    <row r="780" spans="1:24" x14ac:dyDescent="0.2">
      <c r="A780" s="211" t="s">
        <v>182</v>
      </c>
      <c r="B780" s="219"/>
      <c r="C780" s="219"/>
      <c r="D780" s="219"/>
      <c r="E780" s="219"/>
      <c r="F780" s="219"/>
      <c r="I780" s="219"/>
      <c r="J780" s="219"/>
      <c r="K780" s="219"/>
      <c r="L780" s="219"/>
      <c r="M780" s="219"/>
      <c r="N780" s="219"/>
      <c r="O780" s="219" t="s">
        <v>60</v>
      </c>
      <c r="P780" t="s">
        <v>122</v>
      </c>
    </row>
    <row r="782" spans="1:24" ht="27" x14ac:dyDescent="0.35">
      <c r="A782" s="126" t="s">
        <v>174</v>
      </c>
      <c r="B782" s="121"/>
      <c r="C782" s="121"/>
      <c r="D782" s="122"/>
      <c r="E782" s="121"/>
      <c r="F782" s="121"/>
      <c r="G782" s="121"/>
      <c r="H782" s="121"/>
      <c r="I782" s="121"/>
      <c r="J782" s="121"/>
      <c r="K782" s="121"/>
      <c r="L782" s="123"/>
      <c r="M782" s="124"/>
      <c r="N782" s="121"/>
      <c r="O782" s="121"/>
      <c r="P782" s="121"/>
      <c r="Q782" s="121"/>
      <c r="R782" s="121"/>
      <c r="S782" s="121"/>
      <c r="T782" s="121"/>
      <c r="U782" s="121"/>
      <c r="V782" s="121"/>
      <c r="W782" s="125"/>
      <c r="X782" s="121"/>
    </row>
    <row r="783" spans="1:24" x14ac:dyDescent="0.2">
      <c r="A783" s="52"/>
      <c r="B783" s="52"/>
      <c r="C783" s="21"/>
      <c r="D783" s="115"/>
      <c r="E783" s="52"/>
      <c r="F783" s="115"/>
      <c r="G783" s="248" t="s">
        <v>60</v>
      </c>
      <c r="H783" s="115"/>
      <c r="I783" s="115"/>
      <c r="J783" s="115"/>
      <c r="K783" s="52"/>
      <c r="L783" s="115"/>
      <c r="M783" s="52"/>
      <c r="N783" s="52"/>
      <c r="O783" s="52"/>
      <c r="P783" s="52"/>
      <c r="Q783" s="52"/>
      <c r="R783" s="52"/>
      <c r="S783" s="52"/>
      <c r="T783" s="52"/>
      <c r="U783" s="52"/>
      <c r="V783" s="52"/>
      <c r="W783" s="91"/>
      <c r="X783" s="91"/>
    </row>
    <row r="784" spans="1:24" ht="27.75" thickBot="1" x14ac:dyDescent="0.4">
      <c r="A784" s="126" t="s">
        <v>107</v>
      </c>
      <c r="B784" s="121"/>
      <c r="C784" s="121"/>
      <c r="D784" s="121"/>
      <c r="E784" s="121"/>
      <c r="F784" s="122"/>
      <c r="G784" s="121"/>
      <c r="H784" s="121"/>
      <c r="I784" s="121"/>
      <c r="J784" s="121"/>
      <c r="K784" s="121"/>
      <c r="L784" s="121"/>
      <c r="M784" s="121"/>
      <c r="N784" s="121"/>
      <c r="O784" s="121"/>
      <c r="P784" s="121"/>
      <c r="Q784" s="121"/>
      <c r="R784" s="121"/>
      <c r="S784" s="121"/>
      <c r="T784" s="121"/>
      <c r="U784" s="121"/>
      <c r="V784" s="121"/>
      <c r="W784" s="125"/>
      <c r="X784" s="125"/>
    </row>
    <row r="785" spans="1:27" x14ac:dyDescent="0.2">
      <c r="A785" s="174"/>
      <c r="B785" s="173"/>
      <c r="C785" s="173"/>
      <c r="D785" s="173"/>
      <c r="E785" s="173"/>
      <c r="F785" s="173"/>
      <c r="G785" s="173"/>
      <c r="H785" s="173"/>
      <c r="I785" s="173"/>
      <c r="J785" s="173"/>
      <c r="K785" s="173"/>
      <c r="L785" s="173"/>
      <c r="M785" s="173"/>
      <c r="N785" s="173"/>
      <c r="O785" s="173"/>
      <c r="P785" s="173"/>
      <c r="Q785" s="173"/>
      <c r="R785" s="173"/>
      <c r="S785" s="173"/>
      <c r="T785" s="173"/>
      <c r="U785" s="173"/>
      <c r="V785" s="173"/>
      <c r="W785" s="173"/>
      <c r="X785" s="181"/>
    </row>
    <row r="786" spans="1:27" ht="13.5" thickBot="1" x14ac:dyDescent="0.25">
      <c r="A786" s="176"/>
      <c r="B786" s="179" t="s">
        <v>112</v>
      </c>
      <c r="C786" s="177"/>
      <c r="D786" s="177"/>
      <c r="E786" s="177"/>
      <c r="F786" s="177"/>
      <c r="G786" s="177"/>
      <c r="H786" s="177"/>
      <c r="I786" s="177"/>
      <c r="J786" s="177"/>
      <c r="K786" s="177"/>
      <c r="L786" s="179" t="s">
        <v>113</v>
      </c>
      <c r="M786" s="177"/>
      <c r="N786" s="177"/>
      <c r="O786" s="177"/>
      <c r="P786" s="177"/>
      <c r="Q786" s="177"/>
      <c r="R786" s="177"/>
      <c r="S786" s="177"/>
      <c r="T786" s="177"/>
      <c r="U786" s="177"/>
      <c r="V786" s="177"/>
      <c r="W786" s="177"/>
      <c r="X786" s="182"/>
    </row>
    <row r="787" spans="1:27" x14ac:dyDescent="0.2">
      <c r="A787" s="175"/>
      <c r="B787" s="155" t="s">
        <v>11</v>
      </c>
      <c r="C787" s="155" t="s">
        <v>12</v>
      </c>
      <c r="D787" s="155" t="s">
        <v>13</v>
      </c>
      <c r="E787" s="155" t="s">
        <v>14</v>
      </c>
      <c r="F787" s="155" t="s">
        <v>15</v>
      </c>
      <c r="G787" s="193" t="s">
        <v>16</v>
      </c>
      <c r="H787" s="21"/>
      <c r="I787" s="155" t="s">
        <v>17</v>
      </c>
      <c r="J787" s="21"/>
      <c r="K787" s="21"/>
      <c r="L787" s="21"/>
      <c r="M787" s="21"/>
      <c r="N787" s="155" t="s">
        <v>18</v>
      </c>
      <c r="O787" s="155" t="s">
        <v>19</v>
      </c>
      <c r="P787" s="155" t="s">
        <v>20</v>
      </c>
      <c r="Q787" s="155" t="s">
        <v>21</v>
      </c>
      <c r="R787" s="193" t="s">
        <v>16</v>
      </c>
      <c r="S787" s="193" t="s">
        <v>114</v>
      </c>
      <c r="T787" s="209" t="s">
        <v>127</v>
      </c>
      <c r="U787" s="207" t="s">
        <v>138</v>
      </c>
      <c r="V787" s="221" t="s">
        <v>136</v>
      </c>
      <c r="W787" s="155" t="s">
        <v>7</v>
      </c>
      <c r="X787" s="194" t="s">
        <v>70</v>
      </c>
    </row>
    <row r="788" spans="1:27" ht="13.5" thickBot="1" x14ac:dyDescent="0.25">
      <c r="A788" s="176"/>
      <c r="B788" s="179" t="s">
        <v>23</v>
      </c>
      <c r="C788" s="179" t="s">
        <v>24</v>
      </c>
      <c r="D788" s="179" t="s">
        <v>25</v>
      </c>
      <c r="E788" s="179" t="s">
        <v>26</v>
      </c>
      <c r="F788" s="179" t="s">
        <v>27</v>
      </c>
      <c r="G788" s="195" t="s">
        <v>28</v>
      </c>
      <c r="H788" s="179"/>
      <c r="I788" s="179" t="s">
        <v>29</v>
      </c>
      <c r="J788" s="179" t="s">
        <v>30</v>
      </c>
      <c r="K788" s="179" t="s">
        <v>31</v>
      </c>
      <c r="L788" s="179" t="s">
        <v>32</v>
      </c>
      <c r="M788" s="179" t="s">
        <v>33</v>
      </c>
      <c r="N788" s="179" t="s">
        <v>34</v>
      </c>
      <c r="O788" s="179" t="s">
        <v>35</v>
      </c>
      <c r="P788" s="179" t="s">
        <v>36</v>
      </c>
      <c r="Q788" s="179" t="s">
        <v>37</v>
      </c>
      <c r="R788" s="195" t="s">
        <v>28</v>
      </c>
      <c r="S788" s="195" t="s">
        <v>129</v>
      </c>
      <c r="T788" s="210" t="s">
        <v>130</v>
      </c>
      <c r="U788" s="179" t="s">
        <v>139</v>
      </c>
      <c r="V788" s="222" t="s">
        <v>143</v>
      </c>
      <c r="W788" s="179" t="s">
        <v>181</v>
      </c>
      <c r="X788" s="196" t="s">
        <v>71</v>
      </c>
    </row>
    <row r="789" spans="1:27" x14ac:dyDescent="0.2">
      <c r="A789" s="175"/>
      <c r="B789" s="117"/>
      <c r="C789" s="117"/>
      <c r="D789" s="117"/>
      <c r="E789" s="117"/>
      <c r="F789" s="117"/>
      <c r="G789" s="178"/>
      <c r="H789" s="52"/>
      <c r="I789" s="117"/>
      <c r="J789" s="117"/>
      <c r="K789" s="117"/>
      <c r="L789" s="117"/>
      <c r="M789" s="117"/>
      <c r="N789" s="117"/>
      <c r="O789" s="117"/>
      <c r="P789" s="117"/>
      <c r="Q789" s="117"/>
      <c r="R789" s="178"/>
      <c r="S789" s="208"/>
      <c r="T789" s="185"/>
      <c r="U789" s="185"/>
      <c r="V789" s="185"/>
      <c r="W789" s="185"/>
      <c r="X789" s="183"/>
    </row>
    <row r="790" spans="1:27" x14ac:dyDescent="0.2">
      <c r="A790" s="191" t="s">
        <v>41</v>
      </c>
      <c r="B790" s="91">
        <v>0</v>
      </c>
      <c r="C790" s="91">
        <v>0</v>
      </c>
      <c r="D790" s="91">
        <f>5784978.41+64074.01*0</f>
        <v>5784978.4100000001</v>
      </c>
      <c r="E790" s="91">
        <f>3126986.62+34634.22*0</f>
        <v>3126986.62</v>
      </c>
      <c r="F790" s="91">
        <f>1804807.28+19963.48*0</f>
        <v>1804807.28</v>
      </c>
      <c r="G790" s="180">
        <f>SUM(B790:F790)</f>
        <v>10716772.310000001</v>
      </c>
      <c r="H790" s="91"/>
      <c r="I790" s="91">
        <v>4956000</v>
      </c>
      <c r="J790" s="91">
        <v>3186000</v>
      </c>
      <c r="K790" s="91">
        <v>735000</v>
      </c>
      <c r="L790" s="91">
        <v>825000</v>
      </c>
      <c r="M790" s="91">
        <v>1503000</v>
      </c>
      <c r="N790" s="91">
        <v>0</v>
      </c>
      <c r="O790" s="91">
        <v>0</v>
      </c>
      <c r="P790" s="91">
        <v>0</v>
      </c>
      <c r="Q790" s="91">
        <v>0</v>
      </c>
      <c r="R790" s="180">
        <f>SUM(I790:Q790)</f>
        <v>11205000</v>
      </c>
      <c r="S790" s="180">
        <v>3502756</v>
      </c>
      <c r="T790" s="91">
        <v>0</v>
      </c>
      <c r="U790" s="86">
        <f>3502756-3356000</f>
        <v>146756</v>
      </c>
      <c r="V790" s="186">
        <v>208000</v>
      </c>
      <c r="W790" s="186">
        <f>R790+G790+S790+T790</f>
        <v>25424528.310000002</v>
      </c>
      <c r="X790" s="46"/>
    </row>
    <row r="791" spans="1:27" x14ac:dyDescent="0.2">
      <c r="A791" s="191" t="s">
        <v>42</v>
      </c>
      <c r="B791" s="91">
        <f t="shared" ref="B791:G791" si="347">B777+B790-B743</f>
        <v>0</v>
      </c>
      <c r="C791" s="91">
        <f t="shared" si="347"/>
        <v>16845380</v>
      </c>
      <c r="D791" s="91">
        <f t="shared" si="347"/>
        <v>59003147.409999996</v>
      </c>
      <c r="E791" s="91">
        <f t="shared" si="347"/>
        <v>63283661.620000005</v>
      </c>
      <c r="F791" s="91">
        <f t="shared" si="347"/>
        <v>29717967.280000001</v>
      </c>
      <c r="G791" s="180">
        <f t="shared" si="347"/>
        <v>168850156.31</v>
      </c>
      <c r="H791" s="91"/>
      <c r="I791" s="91">
        <f t="shared" ref="I791:W791" si="348">I777+I790-I743</f>
        <v>60816000</v>
      </c>
      <c r="J791" s="91">
        <f t="shared" si="348"/>
        <v>30960000</v>
      </c>
      <c r="K791" s="91">
        <f t="shared" si="348"/>
        <v>12162000</v>
      </c>
      <c r="L791" s="91">
        <f t="shared" si="348"/>
        <v>11361000</v>
      </c>
      <c r="M791" s="91">
        <f t="shared" si="348"/>
        <v>37467000</v>
      </c>
      <c r="N791" s="91">
        <f t="shared" si="348"/>
        <v>2840000</v>
      </c>
      <c r="O791" s="91">
        <f t="shared" si="348"/>
        <v>0</v>
      </c>
      <c r="P791" s="91">
        <f t="shared" si="348"/>
        <v>19632000</v>
      </c>
      <c r="Q791" s="91">
        <f t="shared" si="348"/>
        <v>0</v>
      </c>
      <c r="R791" s="180">
        <f t="shared" si="348"/>
        <v>175238000</v>
      </c>
      <c r="S791" s="180">
        <f t="shared" si="348"/>
        <v>93031964</v>
      </c>
      <c r="T791" s="215">
        <f t="shared" si="348"/>
        <v>40104825.999999993</v>
      </c>
      <c r="U791" s="86">
        <f t="shared" si="348"/>
        <v>2613964</v>
      </c>
      <c r="V791" s="86">
        <f t="shared" si="348"/>
        <v>283490</v>
      </c>
      <c r="W791" s="186">
        <f t="shared" si="348"/>
        <v>477224946.31</v>
      </c>
      <c r="X791" s="46">
        <f>X777+W790</f>
        <v>7758285819.7770004</v>
      </c>
      <c r="AA791" t="s">
        <v>173</v>
      </c>
    </row>
    <row r="792" spans="1:27" x14ac:dyDescent="0.2">
      <c r="A792" s="191"/>
      <c r="B792" s="52"/>
      <c r="C792" s="52"/>
      <c r="D792" s="52"/>
      <c r="E792" s="52"/>
      <c r="F792" s="52"/>
      <c r="G792" s="180"/>
      <c r="H792" s="91"/>
      <c r="I792" s="52"/>
      <c r="J792" s="52"/>
      <c r="K792" s="52"/>
      <c r="L792" s="52"/>
      <c r="M792" s="52"/>
      <c r="N792" s="52"/>
      <c r="O792" s="52"/>
      <c r="P792" s="52"/>
      <c r="Q792" s="52"/>
      <c r="R792" s="180"/>
      <c r="S792" s="178"/>
      <c r="T792" s="218"/>
      <c r="U792" s="217"/>
      <c r="V792" s="185"/>
      <c r="W792" s="186"/>
      <c r="X792" s="46"/>
    </row>
    <row r="793" spans="1:27" x14ac:dyDescent="0.2">
      <c r="A793" s="191" t="s">
        <v>43</v>
      </c>
      <c r="B793" s="91">
        <v>0</v>
      </c>
      <c r="C793" s="91">
        <f>275489.46+9906.26*0</f>
        <v>275489.46000000002</v>
      </c>
      <c r="D793" s="91">
        <f>3219560+35659.6*0</f>
        <v>3219560</v>
      </c>
      <c r="E793" s="91">
        <f>3925287.79+43476.19*0</f>
        <v>3925287.79</v>
      </c>
      <c r="F793" s="91">
        <f>2365978.61+26122.21*0</f>
        <v>2365978.61</v>
      </c>
      <c r="G793" s="180">
        <f>SUM(B793:F793)</f>
        <v>9786315.8599999994</v>
      </c>
      <c r="H793" s="91"/>
      <c r="I793" s="91">
        <v>2652000</v>
      </c>
      <c r="J793" s="91">
        <v>1746000</v>
      </c>
      <c r="K793" s="91">
        <v>294000</v>
      </c>
      <c r="L793" s="91">
        <v>303000</v>
      </c>
      <c r="M793" s="91">
        <v>3834000</v>
      </c>
      <c r="N793" s="91">
        <v>0</v>
      </c>
      <c r="O793" s="91">
        <v>0</v>
      </c>
      <c r="P793" s="91">
        <v>0</v>
      </c>
      <c r="Q793" s="91">
        <v>0</v>
      </c>
      <c r="R793" s="180">
        <f>SUM(I793:Q793)</f>
        <v>8829000</v>
      </c>
      <c r="S793" s="180">
        <v>3408906</v>
      </c>
      <c r="T793" s="91">
        <v>0</v>
      </c>
      <c r="U793" s="86">
        <f>3408906-3172000</f>
        <v>236906</v>
      </c>
      <c r="V793" s="86">
        <v>318600</v>
      </c>
      <c r="W793" s="186">
        <f>R793+G793+S793+T793</f>
        <v>22024221.859999999</v>
      </c>
      <c r="X793" s="46"/>
    </row>
    <row r="794" spans="1:27" x14ac:dyDescent="0.2">
      <c r="A794" s="191" t="s">
        <v>42</v>
      </c>
      <c r="B794" s="91">
        <f t="shared" ref="B794:G794" si="349">B791+B793-B746</f>
        <v>0</v>
      </c>
      <c r="C794" s="91">
        <f t="shared" si="349"/>
        <v>17120869.460000001</v>
      </c>
      <c r="D794" s="91">
        <f t="shared" si="349"/>
        <v>55922707.409999996</v>
      </c>
      <c r="E794" s="91">
        <f t="shared" si="349"/>
        <v>62762949.410000011</v>
      </c>
      <c r="F794" s="91">
        <f t="shared" si="349"/>
        <v>30061945.890000001</v>
      </c>
      <c r="G794" s="180">
        <f t="shared" si="349"/>
        <v>165868472.17000002</v>
      </c>
      <c r="H794" s="91"/>
      <c r="I794" s="91">
        <f t="shared" ref="I794:W794" si="350">I791+I793-I746</f>
        <v>58668000</v>
      </c>
      <c r="J794" s="91">
        <f t="shared" si="350"/>
        <v>30996000</v>
      </c>
      <c r="K794" s="91">
        <f t="shared" si="350"/>
        <v>12456000</v>
      </c>
      <c r="L794" s="91">
        <f t="shared" si="350"/>
        <v>11664000</v>
      </c>
      <c r="M794" s="91">
        <f t="shared" si="350"/>
        <v>37557000</v>
      </c>
      <c r="N794" s="91">
        <f t="shared" si="350"/>
        <v>2840000</v>
      </c>
      <c r="O794" s="91">
        <f t="shared" si="350"/>
        <v>0</v>
      </c>
      <c r="P794" s="91">
        <f t="shared" si="350"/>
        <v>18126000</v>
      </c>
      <c r="Q794" s="91">
        <f t="shared" si="350"/>
        <v>0</v>
      </c>
      <c r="R794" s="180">
        <f t="shared" si="350"/>
        <v>172307000</v>
      </c>
      <c r="S794" s="180">
        <f t="shared" si="350"/>
        <v>88619930</v>
      </c>
      <c r="T794" s="215">
        <f t="shared" si="350"/>
        <v>39887698.999999993</v>
      </c>
      <c r="U794" s="86">
        <f t="shared" si="350"/>
        <v>2764930</v>
      </c>
      <c r="V794" s="86">
        <f t="shared" si="350"/>
        <v>602090</v>
      </c>
      <c r="W794" s="186">
        <f t="shared" si="350"/>
        <v>466683101.17000002</v>
      </c>
      <c r="X794" s="46">
        <f>X791+W793</f>
        <v>7780310041.6370001</v>
      </c>
    </row>
    <row r="795" spans="1:27" x14ac:dyDescent="0.2">
      <c r="A795" s="191"/>
      <c r="B795" s="91"/>
      <c r="C795" s="91"/>
      <c r="D795" s="91"/>
      <c r="E795" s="91"/>
      <c r="F795" s="91"/>
      <c r="G795" s="180"/>
      <c r="H795" s="91"/>
      <c r="I795" s="91"/>
      <c r="J795" s="91"/>
      <c r="K795" s="91"/>
      <c r="L795" s="91"/>
      <c r="M795" s="91"/>
      <c r="N795" s="91"/>
      <c r="O795" s="91"/>
      <c r="P795" s="91"/>
      <c r="Q795" s="91"/>
      <c r="R795" s="180"/>
      <c r="S795" s="178"/>
      <c r="T795" s="218"/>
      <c r="U795" s="217"/>
      <c r="V795" s="185"/>
      <c r="W795" s="186"/>
      <c r="X795" s="46"/>
    </row>
    <row r="796" spans="1:27" x14ac:dyDescent="0.2">
      <c r="A796" s="191" t="s">
        <v>44</v>
      </c>
      <c r="B796" s="91">
        <v>0</v>
      </c>
      <c r="C796" s="91">
        <v>372622.02</v>
      </c>
      <c r="D796" s="91">
        <v>3657139.83</v>
      </c>
      <c r="E796" s="91">
        <v>3393509.03</v>
      </c>
      <c r="F796" s="91">
        <v>1840194.04</v>
      </c>
      <c r="G796" s="180">
        <f>SUM(B796:F796)</f>
        <v>9263464.9199999999</v>
      </c>
      <c r="H796" s="91"/>
      <c r="I796" s="91">
        <v>3900000</v>
      </c>
      <c r="J796" s="91">
        <v>1908000</v>
      </c>
      <c r="K796" s="91">
        <v>333000</v>
      </c>
      <c r="L796" s="91">
        <v>321000</v>
      </c>
      <c r="M796" s="91">
        <v>1755000</v>
      </c>
      <c r="N796" s="91">
        <v>0</v>
      </c>
      <c r="O796" s="91">
        <v>0</v>
      </c>
      <c r="P796" s="91">
        <v>0</v>
      </c>
      <c r="Q796" s="91">
        <v>0</v>
      </c>
      <c r="R796" s="180">
        <f>SUM(I796:Q796)</f>
        <v>8217000</v>
      </c>
      <c r="S796" s="180">
        <v>4593579</v>
      </c>
      <c r="T796" s="91">
        <v>1334105</v>
      </c>
      <c r="U796" s="86">
        <f>4593579-4358000</f>
        <v>235579</v>
      </c>
      <c r="V796" s="86">
        <v>275102</v>
      </c>
      <c r="W796" s="186">
        <f>R796+G796+S796+T796</f>
        <v>23408148.920000002</v>
      </c>
      <c r="X796" s="46"/>
    </row>
    <row r="797" spans="1:27" x14ac:dyDescent="0.2">
      <c r="A797" s="191" t="s">
        <v>42</v>
      </c>
      <c r="B797" s="91">
        <f t="shared" ref="B797:G797" si="351">B794+B796-B749</f>
        <v>0</v>
      </c>
      <c r="C797" s="91">
        <f t="shared" si="351"/>
        <v>15915491.48</v>
      </c>
      <c r="D797" s="91">
        <f t="shared" si="351"/>
        <v>53999847.239999995</v>
      </c>
      <c r="E797" s="91">
        <f t="shared" si="351"/>
        <v>60198458.440000013</v>
      </c>
      <c r="F797" s="91">
        <f t="shared" si="351"/>
        <v>29418139.93</v>
      </c>
      <c r="G797" s="180">
        <f t="shared" si="351"/>
        <v>159531937.09</v>
      </c>
      <c r="H797" s="91"/>
      <c r="I797" s="91">
        <f t="shared" ref="I797:W797" si="352">I794+I796-I749</f>
        <v>57300000</v>
      </c>
      <c r="J797" s="91">
        <f t="shared" si="352"/>
        <v>29376000</v>
      </c>
      <c r="K797" s="91">
        <f t="shared" si="352"/>
        <v>11223000</v>
      </c>
      <c r="L797" s="91">
        <f t="shared" si="352"/>
        <v>11073000</v>
      </c>
      <c r="M797" s="91">
        <f t="shared" si="352"/>
        <v>35208000</v>
      </c>
      <c r="N797" s="91">
        <f t="shared" si="352"/>
        <v>2840000</v>
      </c>
      <c r="O797" s="91">
        <f t="shared" si="352"/>
        <v>0</v>
      </c>
      <c r="P797" s="91">
        <f t="shared" si="352"/>
        <v>16488000</v>
      </c>
      <c r="Q797" s="91">
        <f t="shared" si="352"/>
        <v>0</v>
      </c>
      <c r="R797" s="180">
        <f t="shared" si="352"/>
        <v>163508000</v>
      </c>
      <c r="S797" s="180">
        <f t="shared" si="352"/>
        <v>84128829</v>
      </c>
      <c r="T797" s="215">
        <f t="shared" si="352"/>
        <v>41221718.999999993</v>
      </c>
      <c r="U797" s="86">
        <f t="shared" si="352"/>
        <v>2785829</v>
      </c>
      <c r="V797" s="86">
        <f t="shared" si="352"/>
        <v>877192</v>
      </c>
      <c r="W797" s="186">
        <f t="shared" si="352"/>
        <v>448390485.09000003</v>
      </c>
      <c r="X797" s="46">
        <f>X794+W796</f>
        <v>7803718190.5570002</v>
      </c>
    </row>
    <row r="798" spans="1:27" x14ac:dyDescent="0.2">
      <c r="A798" s="191"/>
      <c r="B798" s="52"/>
      <c r="C798" s="52"/>
      <c r="D798" s="52"/>
      <c r="E798" s="52"/>
      <c r="F798" s="52"/>
      <c r="G798" s="180"/>
      <c r="H798" s="91"/>
      <c r="I798" s="52"/>
      <c r="J798" s="52"/>
      <c r="K798" s="52"/>
      <c r="L798" s="52"/>
      <c r="M798" s="52"/>
      <c r="N798" s="52"/>
      <c r="O798" s="52"/>
      <c r="P798" s="52"/>
      <c r="Q798" s="52"/>
      <c r="R798" s="180"/>
      <c r="S798" s="178"/>
      <c r="T798" s="218"/>
      <c r="U798" s="217"/>
      <c r="V798" s="185"/>
      <c r="W798" s="186"/>
      <c r="X798" s="46"/>
    </row>
    <row r="799" spans="1:27" x14ac:dyDescent="0.2">
      <c r="A799" s="191" t="s">
        <v>45</v>
      </c>
      <c r="B799" s="91">
        <v>0</v>
      </c>
      <c r="C799" s="91">
        <v>2565275.5099999998</v>
      </c>
      <c r="D799" s="91">
        <v>5621143.3799999999</v>
      </c>
      <c r="E799" s="91">
        <v>3724742.98</v>
      </c>
      <c r="F799" s="91">
        <v>2486517.71</v>
      </c>
      <c r="G799" s="180">
        <f>SUM(B799:F799)</f>
        <v>14397679.579999998</v>
      </c>
      <c r="H799" s="91"/>
      <c r="I799" s="91">
        <v>5472000</v>
      </c>
      <c r="J799" s="91">
        <v>3456000</v>
      </c>
      <c r="K799" s="91">
        <v>1653000</v>
      </c>
      <c r="L799" s="91">
        <v>1671000</v>
      </c>
      <c r="M799" s="91">
        <v>81000</v>
      </c>
      <c r="N799" s="91">
        <v>396000</v>
      </c>
      <c r="O799" s="91">
        <v>0</v>
      </c>
      <c r="P799" s="91">
        <v>0</v>
      </c>
      <c r="Q799" s="91">
        <v>0</v>
      </c>
      <c r="R799" s="180">
        <f>SUM(I799:Q799)</f>
        <v>12729000</v>
      </c>
      <c r="S799" s="180">
        <v>4035683</v>
      </c>
      <c r="T799" s="91">
        <v>2041002</v>
      </c>
      <c r="U799" s="180">
        <f>4035683-3819000</f>
        <v>216683</v>
      </c>
      <c r="V799" s="86">
        <v>0</v>
      </c>
      <c r="W799" s="186">
        <f>R799+G799+S799+T799</f>
        <v>33203364.579999998</v>
      </c>
      <c r="X799" s="46"/>
    </row>
    <row r="800" spans="1:27" x14ac:dyDescent="0.2">
      <c r="A800" s="191" t="s">
        <v>42</v>
      </c>
      <c r="B800" s="91">
        <f t="shared" ref="B800:G800" si="353">B797+B799-B752</f>
        <v>0</v>
      </c>
      <c r="C800" s="91">
        <f t="shared" si="353"/>
        <v>16506766.990000002</v>
      </c>
      <c r="D800" s="91">
        <f t="shared" si="353"/>
        <v>54256990.619999997</v>
      </c>
      <c r="E800" s="91">
        <f t="shared" si="353"/>
        <v>58928201.420000009</v>
      </c>
      <c r="F800" s="91">
        <f t="shared" si="353"/>
        <v>29390657.640000001</v>
      </c>
      <c r="G800" s="180">
        <f t="shared" si="353"/>
        <v>159082616.67000002</v>
      </c>
      <c r="H800" s="91"/>
      <c r="I800" s="91">
        <f t="shared" ref="I800:W800" si="354">I797+I799-I752</f>
        <v>57180000</v>
      </c>
      <c r="J800" s="91">
        <f t="shared" si="354"/>
        <v>29907000</v>
      </c>
      <c r="K800" s="91">
        <f t="shared" si="354"/>
        <v>11442000</v>
      </c>
      <c r="L800" s="91">
        <f t="shared" si="354"/>
        <v>11085000</v>
      </c>
      <c r="M800" s="91">
        <f t="shared" si="354"/>
        <v>31743000</v>
      </c>
      <c r="N800" s="91">
        <f t="shared" si="354"/>
        <v>3136000</v>
      </c>
      <c r="O800" s="91">
        <f t="shared" si="354"/>
        <v>0</v>
      </c>
      <c r="P800" s="91">
        <f t="shared" si="354"/>
        <v>15786000</v>
      </c>
      <c r="Q800" s="91">
        <f t="shared" si="354"/>
        <v>0</v>
      </c>
      <c r="R800" s="180">
        <f t="shared" si="354"/>
        <v>160279000</v>
      </c>
      <c r="S800" s="180">
        <f t="shared" si="354"/>
        <v>82514642</v>
      </c>
      <c r="T800" s="215">
        <f t="shared" si="354"/>
        <v>39359136.999999993</v>
      </c>
      <c r="U800" s="86">
        <f t="shared" si="354"/>
        <v>2794642</v>
      </c>
      <c r="V800" s="86">
        <f t="shared" si="354"/>
        <v>806192</v>
      </c>
      <c r="W800" s="186">
        <f t="shared" si="354"/>
        <v>441235395.67000002</v>
      </c>
      <c r="X800" s="46">
        <f>X797+W799</f>
        <v>7836921555.1370001</v>
      </c>
    </row>
    <row r="801" spans="1:26" x14ac:dyDescent="0.2">
      <c r="A801" s="191"/>
      <c r="B801" s="52"/>
      <c r="C801" s="52"/>
      <c r="D801" s="52"/>
      <c r="E801" s="52"/>
      <c r="F801" s="52"/>
      <c r="G801" s="180"/>
      <c r="H801" s="91"/>
      <c r="I801" s="52"/>
      <c r="J801" s="52"/>
      <c r="K801" s="52"/>
      <c r="L801" s="52"/>
      <c r="M801" s="52"/>
      <c r="N801" s="52"/>
      <c r="O801" s="52"/>
      <c r="P801" s="52"/>
      <c r="Q801" s="52"/>
      <c r="R801" s="180"/>
      <c r="S801" s="180"/>
      <c r="T801" s="44"/>
      <c r="U801" s="86"/>
      <c r="V801" s="186"/>
      <c r="W801" s="186"/>
      <c r="X801" s="46"/>
    </row>
    <row r="802" spans="1:26" x14ac:dyDescent="0.2">
      <c r="A802" s="191" t="s">
        <v>46</v>
      </c>
      <c r="B802" s="91">
        <v>0</v>
      </c>
      <c r="C802" s="91">
        <v>3174766.43</v>
      </c>
      <c r="D802" s="91">
        <v>6404654.2999999998</v>
      </c>
      <c r="E802" s="91">
        <v>3458417.11</v>
      </c>
      <c r="F802" s="91">
        <v>2197297.6800000002</v>
      </c>
      <c r="G802" s="180">
        <f>SUM(B802:F802)</f>
        <v>15235135.52</v>
      </c>
      <c r="H802" s="91"/>
      <c r="I802" s="91">
        <v>4452000</v>
      </c>
      <c r="J802" s="91">
        <v>2745000</v>
      </c>
      <c r="K802" s="91">
        <v>1617000</v>
      </c>
      <c r="L802" s="91">
        <v>1614000</v>
      </c>
      <c r="M802" s="91">
        <v>3294000</v>
      </c>
      <c r="N802" s="91">
        <v>672000</v>
      </c>
      <c r="O802" s="91">
        <v>0</v>
      </c>
      <c r="P802" s="91">
        <v>246000</v>
      </c>
      <c r="Q802" s="91">
        <v>400000</v>
      </c>
      <c r="R802" s="180">
        <f>SUM(I802:Q802)</f>
        <v>15040000</v>
      </c>
      <c r="S802" s="180">
        <v>5060200</v>
      </c>
      <c r="T802" s="91">
        <v>0</v>
      </c>
      <c r="U802" s="86">
        <f>5060200-4824000</f>
        <v>236200</v>
      </c>
      <c r="V802" s="86">
        <v>0</v>
      </c>
      <c r="W802" s="186">
        <f>R802+G802+S802+T802</f>
        <v>35335335.519999996</v>
      </c>
      <c r="X802" s="46"/>
    </row>
    <row r="803" spans="1:26" x14ac:dyDescent="0.2">
      <c r="A803" s="191" t="s">
        <v>42</v>
      </c>
      <c r="B803" s="91">
        <f t="shared" ref="B803:G803" si="355">B800+B802-B755</f>
        <v>0</v>
      </c>
      <c r="C803" s="91">
        <f t="shared" si="355"/>
        <v>16921533.420000002</v>
      </c>
      <c r="D803" s="91">
        <f t="shared" si="355"/>
        <v>56725644.919999994</v>
      </c>
      <c r="E803" s="91">
        <f t="shared" si="355"/>
        <v>57481618.530000009</v>
      </c>
      <c r="F803" s="91">
        <f t="shared" si="355"/>
        <v>28461955.32</v>
      </c>
      <c r="G803" s="180">
        <f t="shared" si="355"/>
        <v>159590752.19000003</v>
      </c>
      <c r="H803" s="91"/>
      <c r="I803" s="91">
        <f t="shared" ref="I803:W803" si="356">I800+I802-I755</f>
        <v>56076000</v>
      </c>
      <c r="J803" s="91">
        <f t="shared" si="356"/>
        <v>29943000</v>
      </c>
      <c r="K803" s="91">
        <f t="shared" si="356"/>
        <v>11349000</v>
      </c>
      <c r="L803" s="91">
        <f t="shared" si="356"/>
        <v>11037000</v>
      </c>
      <c r="M803" s="91">
        <f t="shared" si="356"/>
        <v>31563000</v>
      </c>
      <c r="N803" s="91">
        <f t="shared" si="356"/>
        <v>3808000</v>
      </c>
      <c r="O803" s="91">
        <f t="shared" si="356"/>
        <v>0</v>
      </c>
      <c r="P803" s="91">
        <f t="shared" si="356"/>
        <v>15042000</v>
      </c>
      <c r="Q803" s="91">
        <f t="shared" si="356"/>
        <v>400000</v>
      </c>
      <c r="R803" s="180">
        <f t="shared" si="356"/>
        <v>159218000</v>
      </c>
      <c r="S803" s="180">
        <f t="shared" si="356"/>
        <v>79692932</v>
      </c>
      <c r="T803" s="215">
        <f t="shared" si="356"/>
        <v>31565955.999999993</v>
      </c>
      <c r="U803" s="86">
        <f t="shared" si="356"/>
        <v>2787932</v>
      </c>
      <c r="V803" s="86">
        <f t="shared" si="356"/>
        <v>801702</v>
      </c>
      <c r="W803" s="186">
        <f t="shared" si="356"/>
        <v>430067640.19</v>
      </c>
      <c r="X803" s="46">
        <f>X800+W802</f>
        <v>7872256890.6570005</v>
      </c>
    </row>
    <row r="804" spans="1:26" x14ac:dyDescent="0.2">
      <c r="A804" s="191"/>
      <c r="B804" s="52"/>
      <c r="C804" s="52"/>
      <c r="D804" s="52"/>
      <c r="E804" s="52"/>
      <c r="F804" s="52"/>
      <c r="G804" s="180"/>
      <c r="H804" s="91"/>
      <c r="I804" s="52"/>
      <c r="J804" s="52"/>
      <c r="K804" s="52"/>
      <c r="L804" s="52"/>
      <c r="M804" s="52"/>
      <c r="N804" s="52"/>
      <c r="O804" s="52"/>
      <c r="P804" s="52"/>
      <c r="Q804" s="52"/>
      <c r="R804" s="180"/>
      <c r="S804" s="180"/>
      <c r="T804" s="44"/>
      <c r="U804" s="86"/>
      <c r="V804" s="186"/>
      <c r="W804" s="186"/>
      <c r="X804" s="46"/>
    </row>
    <row r="805" spans="1:26" x14ac:dyDescent="0.2">
      <c r="A805" s="191" t="s">
        <v>47</v>
      </c>
      <c r="B805" s="91">
        <v>0</v>
      </c>
      <c r="C805" s="91">
        <v>3153157.81</v>
      </c>
      <c r="D805" s="91">
        <v>6191717.0099999998</v>
      </c>
      <c r="E805" s="91">
        <v>5070277.6100000003</v>
      </c>
      <c r="F805" s="91">
        <v>2612270.5299999998</v>
      </c>
      <c r="G805" s="180">
        <f>SUM(B805:F805)</f>
        <v>17027422.960000001</v>
      </c>
      <c r="H805" s="91"/>
      <c r="I805" s="91">
        <v>4788000</v>
      </c>
      <c r="J805" s="91">
        <v>2844000</v>
      </c>
      <c r="K805" s="91">
        <v>1764000</v>
      </c>
      <c r="L805" s="91">
        <v>1779000</v>
      </c>
      <c r="M805" s="91">
        <v>3186000</v>
      </c>
      <c r="N805" s="91">
        <v>608000</v>
      </c>
      <c r="O805" s="91">
        <v>0</v>
      </c>
      <c r="P805" s="91">
        <v>3228000</v>
      </c>
      <c r="Q805" s="91">
        <v>0</v>
      </c>
      <c r="R805" s="180">
        <f>SUM(I805:Q805)</f>
        <v>18197000</v>
      </c>
      <c r="S805" s="180">
        <v>7571737</v>
      </c>
      <c r="T805" s="91">
        <v>0</v>
      </c>
      <c r="U805" s="86">
        <v>266737</v>
      </c>
      <c r="V805" s="86">
        <v>0</v>
      </c>
      <c r="W805" s="186">
        <f>R805+G805+S805+T805</f>
        <v>42796159.960000001</v>
      </c>
      <c r="X805" s="247" t="s">
        <v>60</v>
      </c>
      <c r="Z805" t="s">
        <v>60</v>
      </c>
    </row>
    <row r="806" spans="1:26" x14ac:dyDescent="0.2">
      <c r="A806" s="191" t="s">
        <v>42</v>
      </c>
      <c r="B806" s="91">
        <f t="shared" ref="B806:G806" si="357">B803+B805-B758</f>
        <v>0</v>
      </c>
      <c r="C806" s="91">
        <f t="shared" si="357"/>
        <v>17656691.23</v>
      </c>
      <c r="D806" s="91">
        <f t="shared" si="357"/>
        <v>58681361.929999992</v>
      </c>
      <c r="E806" s="91">
        <f t="shared" si="357"/>
        <v>57646896.140000008</v>
      </c>
      <c r="F806" s="91">
        <f t="shared" si="357"/>
        <v>28464225.850000001</v>
      </c>
      <c r="G806" s="180">
        <f t="shared" si="357"/>
        <v>162449175.15000004</v>
      </c>
      <c r="H806" s="91"/>
      <c r="I806" s="91">
        <f t="shared" ref="I806:W806" si="358">I803+I805-I758</f>
        <v>56700000</v>
      </c>
      <c r="J806" s="91">
        <f t="shared" si="358"/>
        <v>31005000</v>
      </c>
      <c r="K806" s="91">
        <f t="shared" si="358"/>
        <v>11907000</v>
      </c>
      <c r="L806" s="91">
        <f t="shared" si="358"/>
        <v>11775000</v>
      </c>
      <c r="M806" s="91">
        <f t="shared" si="358"/>
        <v>32022000</v>
      </c>
      <c r="N806" s="91">
        <f t="shared" si="358"/>
        <v>3846000</v>
      </c>
      <c r="O806" s="91">
        <f t="shared" si="358"/>
        <v>0</v>
      </c>
      <c r="P806" s="91">
        <f t="shared" si="358"/>
        <v>15282000</v>
      </c>
      <c r="Q806" s="91">
        <f t="shared" si="358"/>
        <v>400000</v>
      </c>
      <c r="R806" s="180">
        <f t="shared" si="358"/>
        <v>162937000</v>
      </c>
      <c r="S806" s="180">
        <f t="shared" si="358"/>
        <v>76689759</v>
      </c>
      <c r="T806" s="215">
        <f t="shared" si="358"/>
        <v>26290011.999999993</v>
      </c>
      <c r="U806" s="86">
        <f t="shared" si="358"/>
        <v>2809759</v>
      </c>
      <c r="V806" s="86">
        <f t="shared" si="358"/>
        <v>801702</v>
      </c>
      <c r="W806" s="186">
        <f t="shared" si="358"/>
        <v>428365946.14999998</v>
      </c>
      <c r="X806" s="46">
        <f>X803+W805</f>
        <v>7915053050.6170006</v>
      </c>
    </row>
    <row r="807" spans="1:26" x14ac:dyDescent="0.2">
      <c r="A807" s="191"/>
      <c r="B807" s="52"/>
      <c r="C807" s="52"/>
      <c r="D807" s="52"/>
      <c r="E807" s="52"/>
      <c r="F807" s="52"/>
      <c r="G807" s="180"/>
      <c r="H807" s="91"/>
      <c r="I807" s="52"/>
      <c r="J807" s="52"/>
      <c r="K807" s="52"/>
      <c r="L807" s="52"/>
      <c r="M807" s="52"/>
      <c r="N807" s="52"/>
      <c r="O807" s="52"/>
      <c r="P807" s="52"/>
      <c r="Q807" s="52"/>
      <c r="R807" s="180"/>
      <c r="S807" s="180" t="s">
        <v>105</v>
      </c>
      <c r="T807" s="44"/>
      <c r="U807" s="86"/>
      <c r="V807" s="186"/>
      <c r="W807" s="186"/>
      <c r="X807" s="46"/>
    </row>
    <row r="808" spans="1:26" x14ac:dyDescent="0.2">
      <c r="A808" s="191" t="s">
        <v>48</v>
      </c>
      <c r="B808" s="91">
        <v>0</v>
      </c>
      <c r="C808" s="91">
        <v>3121835</v>
      </c>
      <c r="D808" s="91">
        <v>6362457</v>
      </c>
      <c r="E808" s="91">
        <v>5859891</v>
      </c>
      <c r="F808" s="91">
        <v>2909556</v>
      </c>
      <c r="G808" s="180">
        <f>SUM(B808:F808)</f>
        <v>18253739</v>
      </c>
      <c r="H808" s="91"/>
      <c r="I808" s="91">
        <v>5508000</v>
      </c>
      <c r="J808" s="91">
        <v>3366000</v>
      </c>
      <c r="K808" s="91">
        <v>1725000</v>
      </c>
      <c r="L808" s="91">
        <v>1758000</v>
      </c>
      <c r="M808" s="91">
        <v>2781000</v>
      </c>
      <c r="N808" s="91">
        <v>654000</v>
      </c>
      <c r="O808" s="91">
        <v>0</v>
      </c>
      <c r="P808" s="91">
        <v>3288000</v>
      </c>
      <c r="Q808" s="91">
        <v>0</v>
      </c>
      <c r="R808" s="180">
        <f>SUM(I808:Q808)</f>
        <v>19080000</v>
      </c>
      <c r="S808" s="180">
        <v>12324267</v>
      </c>
      <c r="T808" s="91">
        <v>0</v>
      </c>
      <c r="U808" s="180">
        <f>12324267-11995000</f>
        <v>329267</v>
      </c>
      <c r="V808" s="86">
        <v>0</v>
      </c>
      <c r="W808" s="186">
        <f>R808+G808+S808+T808</f>
        <v>49658006</v>
      </c>
      <c r="X808" s="46"/>
    </row>
    <row r="809" spans="1:26" x14ac:dyDescent="0.2">
      <c r="A809" s="191" t="s">
        <v>42</v>
      </c>
      <c r="B809" s="91">
        <f t="shared" ref="B809:G809" si="359">B806+B808-B761</f>
        <v>0</v>
      </c>
      <c r="C809" s="91">
        <f t="shared" si="359"/>
        <v>18264526.23</v>
      </c>
      <c r="D809" s="91">
        <f t="shared" si="359"/>
        <v>61659818.929999992</v>
      </c>
      <c r="E809" s="91">
        <f t="shared" si="359"/>
        <v>57989787.140000008</v>
      </c>
      <c r="F809" s="91">
        <f t="shared" si="359"/>
        <v>28661781.850000001</v>
      </c>
      <c r="G809" s="180">
        <f t="shared" si="359"/>
        <v>166575914.15000004</v>
      </c>
      <c r="H809" s="91"/>
      <c r="I809" s="91">
        <f t="shared" ref="I809:W809" si="360">I806+I808-I761</f>
        <v>56940000</v>
      </c>
      <c r="J809" s="91">
        <f t="shared" si="360"/>
        <v>31005000</v>
      </c>
      <c r="K809" s="91">
        <f t="shared" si="360"/>
        <v>12237000</v>
      </c>
      <c r="L809" s="91">
        <f t="shared" si="360"/>
        <v>12354000</v>
      </c>
      <c r="M809" s="91">
        <f t="shared" si="360"/>
        <v>31779000</v>
      </c>
      <c r="N809" s="91">
        <f t="shared" si="360"/>
        <v>4334000</v>
      </c>
      <c r="O809" s="91">
        <f t="shared" si="360"/>
        <v>0</v>
      </c>
      <c r="P809" s="91">
        <f t="shared" si="360"/>
        <v>15132000</v>
      </c>
      <c r="Q809" s="91">
        <f t="shared" si="360"/>
        <v>400000</v>
      </c>
      <c r="R809" s="180">
        <f t="shared" si="360"/>
        <v>164181000</v>
      </c>
      <c r="S809" s="180">
        <f t="shared" si="360"/>
        <v>80209096</v>
      </c>
      <c r="T809" s="215">
        <f t="shared" si="360"/>
        <v>20438537.999999993</v>
      </c>
      <c r="U809" s="86">
        <f t="shared" si="360"/>
        <v>2767096</v>
      </c>
      <c r="V809" s="86">
        <f t="shared" si="360"/>
        <v>801702</v>
      </c>
      <c r="W809" s="186">
        <f t="shared" si="360"/>
        <v>431404548.14999998</v>
      </c>
      <c r="X809" s="46">
        <f>X806+W808</f>
        <v>7964711056.6170006</v>
      </c>
    </row>
    <row r="810" spans="1:26" x14ac:dyDescent="0.2">
      <c r="A810" s="191"/>
      <c r="B810" s="52"/>
      <c r="C810" s="52"/>
      <c r="D810" s="52"/>
      <c r="E810" s="52"/>
      <c r="F810" s="52"/>
      <c r="G810" s="180"/>
      <c r="H810" s="91"/>
      <c r="I810" s="52"/>
      <c r="J810" s="52"/>
      <c r="K810" s="52"/>
      <c r="L810" s="52"/>
      <c r="M810" s="52"/>
      <c r="N810" s="52"/>
      <c r="O810" s="52"/>
      <c r="P810" s="52"/>
      <c r="Q810" s="52"/>
      <c r="R810" s="180"/>
      <c r="S810" s="180"/>
      <c r="T810" s="44"/>
      <c r="U810" s="86"/>
      <c r="V810" s="186"/>
      <c r="W810" s="186"/>
      <c r="X810" s="46"/>
    </row>
    <row r="811" spans="1:26" x14ac:dyDescent="0.2">
      <c r="A811" s="191" t="s">
        <v>49</v>
      </c>
      <c r="B811" s="91">
        <v>0</v>
      </c>
      <c r="C811" s="91">
        <v>2823255.34</v>
      </c>
      <c r="D811" s="91">
        <v>6332452.5899999999</v>
      </c>
      <c r="E811" s="91">
        <v>5566690.6399999997</v>
      </c>
      <c r="F811" s="91">
        <v>3048400.46</v>
      </c>
      <c r="G811" s="180">
        <f>SUM(B811:F811)</f>
        <v>17770799.030000001</v>
      </c>
      <c r="H811" s="91"/>
      <c r="I811" s="91">
        <v>5592000</v>
      </c>
      <c r="J811" s="91">
        <v>3881959</v>
      </c>
      <c r="K811" s="91">
        <v>1713000</v>
      </c>
      <c r="L811" s="91">
        <v>1636785</v>
      </c>
      <c r="M811" s="91">
        <v>1053693</v>
      </c>
      <c r="N811" s="91">
        <v>835651</v>
      </c>
      <c r="O811" s="91">
        <v>454943</v>
      </c>
      <c r="P811" s="91">
        <v>3489299</v>
      </c>
      <c r="Q811" s="91">
        <v>0</v>
      </c>
      <c r="R811" s="180">
        <f>SUM(I811:Q811)</f>
        <v>18657330</v>
      </c>
      <c r="S811" s="180">
        <v>12991147</v>
      </c>
      <c r="T811" s="91">
        <v>0</v>
      </c>
      <c r="U811" s="86">
        <f>S811-12732000</f>
        <v>259147</v>
      </c>
      <c r="V811" s="86">
        <v>0</v>
      </c>
      <c r="W811" s="186">
        <f>R811+G811+S811+T811</f>
        <v>49419276.030000001</v>
      </c>
      <c r="X811" s="46"/>
    </row>
    <row r="812" spans="1:26" x14ac:dyDescent="0.2">
      <c r="A812" s="191" t="s">
        <v>42</v>
      </c>
      <c r="B812" s="91">
        <f t="shared" ref="B812:G812" si="361">B809+B811-B764</f>
        <v>0</v>
      </c>
      <c r="C812" s="91">
        <f t="shared" si="361"/>
        <v>18723781.57</v>
      </c>
      <c r="D812" s="91">
        <f t="shared" si="361"/>
        <v>64068271.519999996</v>
      </c>
      <c r="E812" s="91">
        <f t="shared" si="361"/>
        <v>57157477.780000009</v>
      </c>
      <c r="F812" s="91">
        <f t="shared" si="361"/>
        <v>28704182.310000002</v>
      </c>
      <c r="G812" s="180">
        <f t="shared" si="361"/>
        <v>168653713.18000004</v>
      </c>
      <c r="H812" s="91"/>
      <c r="I812" s="91">
        <f t="shared" ref="I812:W812" si="362">I809+I811-I764</f>
        <v>58008000</v>
      </c>
      <c r="J812" s="91">
        <f t="shared" si="362"/>
        <v>34373959</v>
      </c>
      <c r="K812" s="91">
        <f t="shared" si="362"/>
        <v>12915000</v>
      </c>
      <c r="L812" s="91">
        <f t="shared" si="362"/>
        <v>13036785</v>
      </c>
      <c r="M812" s="91">
        <f t="shared" si="362"/>
        <v>29862693</v>
      </c>
      <c r="N812" s="91">
        <f t="shared" si="362"/>
        <v>4541651</v>
      </c>
      <c r="O812" s="91">
        <f t="shared" si="362"/>
        <v>454943</v>
      </c>
      <c r="P812" s="91">
        <f t="shared" si="362"/>
        <v>15063299</v>
      </c>
      <c r="Q812" s="91">
        <f t="shared" si="362"/>
        <v>400000</v>
      </c>
      <c r="R812" s="180">
        <f t="shared" si="362"/>
        <v>168656330</v>
      </c>
      <c r="S812" s="180">
        <f t="shared" si="362"/>
        <v>84593765</v>
      </c>
      <c r="T812" s="215">
        <f t="shared" si="362"/>
        <v>13366658.999999993</v>
      </c>
      <c r="U812" s="86">
        <f t="shared" si="362"/>
        <v>2783765</v>
      </c>
      <c r="V812" s="86">
        <f t="shared" si="362"/>
        <v>801702</v>
      </c>
      <c r="W812" s="186">
        <f t="shared" si="362"/>
        <v>435270467.17999995</v>
      </c>
      <c r="X812" s="46">
        <f>X809+W811</f>
        <v>8014130332.6470003</v>
      </c>
    </row>
    <row r="813" spans="1:26" x14ac:dyDescent="0.2">
      <c r="A813" s="191"/>
      <c r="B813" s="52"/>
      <c r="C813" s="52"/>
      <c r="D813" s="52"/>
      <c r="E813" s="52"/>
      <c r="F813" s="52"/>
      <c r="G813" s="180"/>
      <c r="H813" s="91"/>
      <c r="I813" s="52"/>
      <c r="J813" s="52"/>
      <c r="K813" s="52"/>
      <c r="L813" s="52"/>
      <c r="M813" s="52"/>
      <c r="N813" s="52"/>
      <c r="O813" s="52"/>
      <c r="P813" s="52"/>
      <c r="Q813" s="52"/>
      <c r="R813" s="180"/>
      <c r="S813" s="180"/>
      <c r="T813" s="44"/>
      <c r="U813" s="86"/>
      <c r="V813" s="186"/>
      <c r="W813" s="186"/>
      <c r="X813" s="46"/>
    </row>
    <row r="814" spans="1:26" x14ac:dyDescent="0.2">
      <c r="A814" s="191" t="s">
        <v>50</v>
      </c>
      <c r="B814" s="91">
        <v>0</v>
      </c>
      <c r="C814" s="91">
        <v>2645632</v>
      </c>
      <c r="D814" s="91">
        <v>5096948</v>
      </c>
      <c r="E814" s="91">
        <v>5391559</v>
      </c>
      <c r="F814" s="91">
        <v>2937073</v>
      </c>
      <c r="G814" s="180">
        <f>SUM(B814:F814)</f>
        <v>16071212</v>
      </c>
      <c r="H814" s="91"/>
      <c r="I814" s="91">
        <v>4908000</v>
      </c>
      <c r="J814" s="91">
        <v>2591960</v>
      </c>
      <c r="K814" s="91">
        <v>1722000</v>
      </c>
      <c r="L814" s="91">
        <v>1744241</v>
      </c>
      <c r="M814" s="91">
        <v>0</v>
      </c>
      <c r="N814" s="91">
        <v>687755</v>
      </c>
      <c r="O814" s="91">
        <v>496856</v>
      </c>
      <c r="P814" s="91">
        <v>2880553</v>
      </c>
      <c r="Q814" s="91">
        <v>955140</v>
      </c>
      <c r="R814" s="180">
        <f>SUM(I814:Q814)</f>
        <v>15986505</v>
      </c>
      <c r="S814" s="180">
        <v>12256631</v>
      </c>
      <c r="T814" s="91">
        <v>2605181</v>
      </c>
      <c r="U814" s="86">
        <f>S814-11948000</f>
        <v>308631</v>
      </c>
      <c r="V814" s="86">
        <v>0</v>
      </c>
      <c r="W814" s="186">
        <f>R814+G814+S814+T814</f>
        <v>46919529</v>
      </c>
      <c r="X814" s="46"/>
    </row>
    <row r="815" spans="1:26" x14ac:dyDescent="0.2">
      <c r="A815" s="191" t="s">
        <v>42</v>
      </c>
      <c r="B815" s="91">
        <f t="shared" ref="B815:G815" si="363">B812+B814-B767</f>
        <v>0</v>
      </c>
      <c r="C815" s="91">
        <f t="shared" si="363"/>
        <v>19989413.57</v>
      </c>
      <c r="D815" s="91">
        <f t="shared" si="363"/>
        <v>63825219.519999996</v>
      </c>
      <c r="E815" s="91">
        <f t="shared" si="363"/>
        <v>56744036.780000009</v>
      </c>
      <c r="F815" s="91">
        <f t="shared" si="363"/>
        <v>28725255.310000002</v>
      </c>
      <c r="G815" s="180">
        <f t="shared" si="363"/>
        <v>169283925.18000004</v>
      </c>
      <c r="H815" s="91"/>
      <c r="I815" s="91">
        <f t="shared" ref="I815:W815" si="364">I812+I814-I767</f>
        <v>57876000</v>
      </c>
      <c r="J815" s="91">
        <f t="shared" si="364"/>
        <v>35570919</v>
      </c>
      <c r="K815" s="91">
        <f t="shared" si="364"/>
        <v>13677000</v>
      </c>
      <c r="L815" s="91">
        <f t="shared" si="364"/>
        <v>13845026</v>
      </c>
      <c r="M815" s="91">
        <f t="shared" si="364"/>
        <v>26559693</v>
      </c>
      <c r="N815" s="91">
        <f t="shared" si="364"/>
        <v>4539406</v>
      </c>
      <c r="O815" s="91">
        <f t="shared" si="364"/>
        <v>951799</v>
      </c>
      <c r="P815" s="91">
        <f t="shared" si="364"/>
        <v>14871852</v>
      </c>
      <c r="Q815" s="91">
        <f t="shared" si="364"/>
        <v>1355140</v>
      </c>
      <c r="R815" s="180">
        <f t="shared" si="364"/>
        <v>169246835</v>
      </c>
      <c r="S815" s="180">
        <f t="shared" si="364"/>
        <v>86643266</v>
      </c>
      <c r="T815" s="215">
        <f t="shared" si="364"/>
        <v>10564823.999999993</v>
      </c>
      <c r="U815" s="86">
        <f t="shared" si="364"/>
        <v>2725266</v>
      </c>
      <c r="V815" s="86">
        <f t="shared" si="364"/>
        <v>801702</v>
      </c>
      <c r="W815" s="186">
        <f t="shared" si="364"/>
        <v>435738850.17999995</v>
      </c>
      <c r="X815" s="46">
        <f>X812+W814</f>
        <v>8061049861.6470003</v>
      </c>
    </row>
    <row r="816" spans="1:26" x14ac:dyDescent="0.2">
      <c r="A816" s="191"/>
      <c r="B816" s="52"/>
      <c r="C816" s="52"/>
      <c r="D816" s="52"/>
      <c r="E816" s="52"/>
      <c r="F816" s="52"/>
      <c r="G816" s="180"/>
      <c r="H816" s="91"/>
      <c r="I816" s="52"/>
      <c r="J816" s="52"/>
      <c r="K816" s="52"/>
      <c r="L816" s="52"/>
      <c r="M816" s="52"/>
      <c r="N816" s="52"/>
      <c r="O816" s="52"/>
      <c r="P816" s="52"/>
      <c r="Q816" s="52"/>
      <c r="R816" s="180"/>
      <c r="S816" s="180"/>
      <c r="T816" s="44"/>
      <c r="U816" s="86"/>
      <c r="V816" s="186"/>
      <c r="W816" s="186"/>
      <c r="X816" s="46"/>
    </row>
    <row r="817" spans="1:24" x14ac:dyDescent="0.2">
      <c r="A817" s="191" t="s">
        <v>51</v>
      </c>
      <c r="B817" s="91">
        <v>0</v>
      </c>
      <c r="C817" s="91">
        <v>1363997</v>
      </c>
      <c r="D817" s="91">
        <v>5924856</v>
      </c>
      <c r="E817" s="91">
        <v>4382826</v>
      </c>
      <c r="F817" s="91">
        <v>3171134</v>
      </c>
      <c r="G817" s="180">
        <f>SUM(B817:F817)</f>
        <v>14842813</v>
      </c>
      <c r="H817" s="91"/>
      <c r="I817" s="91">
        <v>5844000</v>
      </c>
      <c r="J817" s="91">
        <v>710307</v>
      </c>
      <c r="K817" s="91">
        <v>852000</v>
      </c>
      <c r="L817" s="91">
        <v>827956</v>
      </c>
      <c r="M817" s="91">
        <v>1359911</v>
      </c>
      <c r="N817" s="91">
        <v>473296</v>
      </c>
      <c r="O817" s="91">
        <v>0</v>
      </c>
      <c r="P817" s="91">
        <v>2659529</v>
      </c>
      <c r="Q817" s="91">
        <v>649279</v>
      </c>
      <c r="R817" s="180">
        <f>SUM(I817:Q817)</f>
        <v>13376278</v>
      </c>
      <c r="S817" s="180">
        <v>12118984</v>
      </c>
      <c r="T817" s="91">
        <v>1987990.814</v>
      </c>
      <c r="U817" s="86">
        <f>S817-11645000</f>
        <v>473984</v>
      </c>
      <c r="V817" s="86">
        <v>0</v>
      </c>
      <c r="W817" s="186">
        <f>R817+G817+S817+T817</f>
        <v>42326065.814000003</v>
      </c>
      <c r="X817" s="46"/>
    </row>
    <row r="818" spans="1:24" x14ac:dyDescent="0.2">
      <c r="A818" s="191" t="s">
        <v>42</v>
      </c>
      <c r="B818" s="91">
        <f t="shared" ref="B818:G818" si="365">B815+B817-B770</f>
        <v>0</v>
      </c>
      <c r="C818" s="91">
        <f t="shared" si="365"/>
        <v>21353410.57</v>
      </c>
      <c r="D818" s="91">
        <f t="shared" si="365"/>
        <v>64362075.519999996</v>
      </c>
      <c r="E818" s="91">
        <f t="shared" si="365"/>
        <v>54961862.780000009</v>
      </c>
      <c r="F818" s="91">
        <f t="shared" si="365"/>
        <v>29490389.310000002</v>
      </c>
      <c r="G818" s="180">
        <f t="shared" si="365"/>
        <v>170167738.18000004</v>
      </c>
      <c r="H818" s="91"/>
      <c r="I818" s="91">
        <f t="shared" ref="I818:W818" si="366">I815+I817-I770</f>
        <v>58308000</v>
      </c>
      <c r="J818" s="91">
        <f t="shared" si="366"/>
        <v>32951226</v>
      </c>
      <c r="K818" s="91">
        <f t="shared" si="366"/>
        <v>14052000</v>
      </c>
      <c r="L818" s="91">
        <f t="shared" si="366"/>
        <v>14186982</v>
      </c>
      <c r="M818" s="91">
        <f t="shared" si="366"/>
        <v>24868604</v>
      </c>
      <c r="N818" s="91">
        <f t="shared" si="366"/>
        <v>4730702</v>
      </c>
      <c r="O818" s="91">
        <f t="shared" si="366"/>
        <v>951799</v>
      </c>
      <c r="P818" s="91">
        <f t="shared" si="366"/>
        <v>16229381</v>
      </c>
      <c r="Q818" s="91">
        <f t="shared" si="366"/>
        <v>2004419</v>
      </c>
      <c r="R818" s="180">
        <f t="shared" si="366"/>
        <v>168283113</v>
      </c>
      <c r="S818" s="180">
        <f t="shared" si="366"/>
        <v>90800110</v>
      </c>
      <c r="T818" s="215">
        <f t="shared" si="366"/>
        <v>7968367.8139999919</v>
      </c>
      <c r="U818" s="86">
        <f t="shared" si="366"/>
        <v>2974110</v>
      </c>
      <c r="V818" s="86">
        <f t="shared" si="366"/>
        <v>801702</v>
      </c>
      <c r="W818" s="186">
        <f t="shared" si="366"/>
        <v>437219328.99399996</v>
      </c>
      <c r="X818" s="46">
        <f>X815+W817</f>
        <v>8103375927.4610004</v>
      </c>
    </row>
    <row r="819" spans="1:24" x14ac:dyDescent="0.2">
      <c r="A819" s="191"/>
      <c r="B819" s="52"/>
      <c r="C819" s="52"/>
      <c r="D819" s="52"/>
      <c r="E819" s="52"/>
      <c r="F819" s="52"/>
      <c r="G819" s="180"/>
      <c r="H819" s="91"/>
      <c r="I819" s="52"/>
      <c r="J819" s="52"/>
      <c r="K819" s="52"/>
      <c r="L819" s="52"/>
      <c r="M819" s="52"/>
      <c r="N819" s="52"/>
      <c r="O819" s="52"/>
      <c r="P819" s="52"/>
      <c r="Q819" s="52"/>
      <c r="R819" s="180"/>
      <c r="S819" s="180"/>
      <c r="T819" s="44"/>
      <c r="U819" s="86"/>
      <c r="V819" s="186"/>
      <c r="W819" s="186"/>
      <c r="X819" s="46"/>
    </row>
    <row r="820" spans="1:24" x14ac:dyDescent="0.2">
      <c r="A820" s="191" t="s">
        <v>52</v>
      </c>
      <c r="B820" s="91">
        <v>0</v>
      </c>
      <c r="C820" s="91">
        <v>1030723</v>
      </c>
      <c r="D820" s="91">
        <v>5966408</v>
      </c>
      <c r="E820" s="91">
        <v>5772485</v>
      </c>
      <c r="F820" s="91">
        <v>3060803</v>
      </c>
      <c r="G820" s="180">
        <f>SUM(B820:F820)</f>
        <v>15830419</v>
      </c>
      <c r="H820" s="91"/>
      <c r="I820" s="91">
        <v>5460000</v>
      </c>
      <c r="J820" s="91">
        <v>4042118</v>
      </c>
      <c r="K820" s="91">
        <v>571138</v>
      </c>
      <c r="L820" s="91">
        <v>542052</v>
      </c>
      <c r="M820" s="91">
        <v>1444888</v>
      </c>
      <c r="N820" s="91">
        <v>334804</v>
      </c>
      <c r="O820" s="91">
        <v>0</v>
      </c>
      <c r="P820" s="91">
        <v>3118911</v>
      </c>
      <c r="Q820" s="91">
        <v>0</v>
      </c>
      <c r="R820" s="180">
        <f>SUM(I820:Q820)</f>
        <v>15513911</v>
      </c>
      <c r="S820" s="180">
        <v>8988088</v>
      </c>
      <c r="T820" s="91">
        <v>1280030</v>
      </c>
      <c r="U820" s="86">
        <f>S820-8616000</f>
        <v>372088</v>
      </c>
      <c r="V820" s="86">
        <v>0</v>
      </c>
      <c r="W820" s="186">
        <f>R820+G820+S820+T820</f>
        <v>41612448</v>
      </c>
      <c r="X820" s="46"/>
    </row>
    <row r="821" spans="1:24" x14ac:dyDescent="0.2">
      <c r="A821" s="191" t="s">
        <v>42</v>
      </c>
      <c r="B821" s="91">
        <f t="shared" ref="B821:G821" si="367">B818+B820-B773</f>
        <v>0</v>
      </c>
      <c r="C821" s="91">
        <f t="shared" si="367"/>
        <v>22298333.57</v>
      </c>
      <c r="D821" s="91">
        <f t="shared" si="367"/>
        <v>65580983.519999996</v>
      </c>
      <c r="E821" s="91">
        <f t="shared" si="367"/>
        <v>55409847.780000009</v>
      </c>
      <c r="F821" s="91">
        <f t="shared" si="367"/>
        <v>30305692.310000002</v>
      </c>
      <c r="G821" s="180">
        <f t="shared" si="367"/>
        <v>173594857.18000004</v>
      </c>
      <c r="H821" s="91"/>
      <c r="I821" s="91">
        <f t="shared" ref="I821:W821" si="368">I818+I820-I773</f>
        <v>58788000</v>
      </c>
      <c r="J821" s="91">
        <f t="shared" si="368"/>
        <v>33861344</v>
      </c>
      <c r="K821" s="91">
        <f t="shared" si="368"/>
        <v>14227138</v>
      </c>
      <c r="L821" s="91">
        <f t="shared" si="368"/>
        <v>14300034</v>
      </c>
      <c r="M821" s="91">
        <f t="shared" si="368"/>
        <v>23037492</v>
      </c>
      <c r="N821" s="91">
        <f t="shared" si="368"/>
        <v>4811506</v>
      </c>
      <c r="O821" s="91">
        <f t="shared" si="368"/>
        <v>951799</v>
      </c>
      <c r="P821" s="91">
        <f t="shared" si="368"/>
        <v>18910292</v>
      </c>
      <c r="Q821" s="91">
        <f t="shared" si="368"/>
        <v>2004419</v>
      </c>
      <c r="R821" s="180">
        <f t="shared" si="368"/>
        <v>170892024</v>
      </c>
      <c r="S821" s="180">
        <f t="shared" si="368"/>
        <v>92424408</v>
      </c>
      <c r="T821" s="215">
        <f t="shared" si="368"/>
        <v>9248308.8139999919</v>
      </c>
      <c r="U821" s="86">
        <f t="shared" si="368"/>
        <v>3069408</v>
      </c>
      <c r="V821" s="86">
        <f t="shared" si="368"/>
        <v>801702</v>
      </c>
      <c r="W821" s="186">
        <f t="shared" si="368"/>
        <v>446159597.99399996</v>
      </c>
      <c r="X821" s="46">
        <f>X818+W820</f>
        <v>8144988375.4610004</v>
      </c>
    </row>
    <row r="822" spans="1:24" x14ac:dyDescent="0.2">
      <c r="A822" s="191"/>
      <c r="B822" s="52"/>
      <c r="C822" s="52"/>
      <c r="D822" s="52"/>
      <c r="E822" s="52"/>
      <c r="F822" s="52"/>
      <c r="G822" s="180"/>
      <c r="H822" s="91"/>
      <c r="I822" s="52"/>
      <c r="J822" s="52"/>
      <c r="K822" s="52"/>
      <c r="L822" s="52"/>
      <c r="M822" s="52"/>
      <c r="N822" s="52"/>
      <c r="O822" s="52"/>
      <c r="P822" s="52"/>
      <c r="Q822" s="52"/>
      <c r="R822" s="180"/>
      <c r="S822" s="180"/>
      <c r="T822" s="44"/>
      <c r="U822" s="86"/>
      <c r="V822" s="186"/>
      <c r="W822" s="186"/>
      <c r="X822" s="46"/>
    </row>
    <row r="823" spans="1:24" x14ac:dyDescent="0.2">
      <c r="A823" s="191" t="s">
        <v>53</v>
      </c>
      <c r="B823" s="91">
        <v>0</v>
      </c>
      <c r="C823" s="91">
        <v>1361917</v>
      </c>
      <c r="D823" s="91">
        <v>5362476.3949999996</v>
      </c>
      <c r="E823" s="91">
        <v>6188357.3509999998</v>
      </c>
      <c r="F823" s="91">
        <v>2839103</v>
      </c>
      <c r="G823" s="180">
        <f>SUM(B823:F823)</f>
        <v>15751853.745999999</v>
      </c>
      <c r="H823" s="91"/>
      <c r="I823" s="91">
        <v>5892000</v>
      </c>
      <c r="J823" s="91">
        <v>4240194</v>
      </c>
      <c r="K823" s="91">
        <v>818682</v>
      </c>
      <c r="L823" s="91">
        <v>371135</v>
      </c>
      <c r="M823" s="91">
        <v>1139620</v>
      </c>
      <c r="N823" s="91">
        <v>496842</v>
      </c>
      <c r="O823" s="91">
        <v>0</v>
      </c>
      <c r="P823" s="91">
        <v>3354381</v>
      </c>
      <c r="Q823" s="91">
        <v>0</v>
      </c>
      <c r="R823" s="180">
        <f>SUM(I823:Q823)</f>
        <v>16312854</v>
      </c>
      <c r="S823" s="180">
        <v>9159248</v>
      </c>
      <c r="T823" s="91">
        <v>2083139</v>
      </c>
      <c r="U823" s="86">
        <f>S823-8796000</f>
        <v>363248</v>
      </c>
      <c r="V823" s="86">
        <v>0</v>
      </c>
      <c r="W823" s="186">
        <f>R823+G823+S823+T823</f>
        <v>43307094.745999999</v>
      </c>
      <c r="X823" s="46"/>
    </row>
    <row r="824" spans="1:24" ht="13.5" thickBot="1" x14ac:dyDescent="0.25">
      <c r="A824" s="192" t="s">
        <v>42</v>
      </c>
      <c r="B824" s="187">
        <f t="shared" ref="B824:G824" si="369">B821+B823-B776</f>
        <v>0</v>
      </c>
      <c r="C824" s="187">
        <f t="shared" si="369"/>
        <v>21888670.57</v>
      </c>
      <c r="D824" s="187">
        <f t="shared" si="369"/>
        <v>65924790.914999992</v>
      </c>
      <c r="E824" s="187">
        <f t="shared" si="369"/>
        <v>55861030.131000012</v>
      </c>
      <c r="F824" s="187">
        <f t="shared" si="369"/>
        <v>31273135.310000002</v>
      </c>
      <c r="G824" s="188">
        <f t="shared" si="369"/>
        <v>174947626.92600003</v>
      </c>
      <c r="H824" s="187"/>
      <c r="I824" s="187">
        <f t="shared" ref="I824:W824" si="370">I821+I823-I776</f>
        <v>59424000</v>
      </c>
      <c r="J824" s="187">
        <f t="shared" si="370"/>
        <v>34717538</v>
      </c>
      <c r="K824" s="187">
        <f t="shared" si="370"/>
        <v>13797820</v>
      </c>
      <c r="L824" s="187">
        <f t="shared" si="370"/>
        <v>13393169</v>
      </c>
      <c r="M824" s="187">
        <f t="shared" si="370"/>
        <v>21432112</v>
      </c>
      <c r="N824" s="187">
        <f t="shared" si="370"/>
        <v>5158348</v>
      </c>
      <c r="O824" s="187">
        <f t="shared" si="370"/>
        <v>951799</v>
      </c>
      <c r="P824" s="187">
        <f t="shared" si="370"/>
        <v>22264673</v>
      </c>
      <c r="Q824" s="187">
        <f t="shared" si="370"/>
        <v>2004419</v>
      </c>
      <c r="R824" s="188">
        <f t="shared" si="370"/>
        <v>173143878</v>
      </c>
      <c r="S824" s="188">
        <f t="shared" si="370"/>
        <v>96011226</v>
      </c>
      <c r="T824" s="212">
        <f t="shared" si="370"/>
        <v>11331447.813999992</v>
      </c>
      <c r="U824" s="212">
        <f t="shared" si="370"/>
        <v>3445226</v>
      </c>
      <c r="V824" s="224">
        <f t="shared" si="370"/>
        <v>801702</v>
      </c>
      <c r="W824" s="189">
        <f t="shared" si="370"/>
        <v>455434178.73999995</v>
      </c>
      <c r="X824" s="190">
        <f>X821+W823</f>
        <v>8188295470.2070007</v>
      </c>
    </row>
    <row r="825" spans="1:24" x14ac:dyDescent="0.2">
      <c r="A825" s="211" t="s">
        <v>128</v>
      </c>
    </row>
    <row r="826" spans="1:24" x14ac:dyDescent="0.2">
      <c r="A826" s="211" t="s">
        <v>142</v>
      </c>
      <c r="S826" t="s">
        <v>190</v>
      </c>
      <c r="T826" s="219"/>
    </row>
    <row r="827" spans="1:24" x14ac:dyDescent="0.2">
      <c r="A827" s="211" t="s">
        <v>182</v>
      </c>
      <c r="S827" t="s">
        <v>122</v>
      </c>
    </row>
    <row r="829" spans="1:24" ht="27" x14ac:dyDescent="0.35">
      <c r="A829" s="126" t="s">
        <v>176</v>
      </c>
      <c r="B829" s="121"/>
      <c r="C829" s="121"/>
      <c r="D829" s="122"/>
      <c r="E829" s="121"/>
      <c r="F829" s="121"/>
      <c r="G829" s="121"/>
      <c r="H829" s="121"/>
      <c r="I829" s="121"/>
      <c r="J829" s="121"/>
      <c r="K829" s="121"/>
      <c r="L829" s="123"/>
      <c r="M829" s="124"/>
      <c r="N829" s="121"/>
      <c r="O829" s="121"/>
      <c r="P829" s="121"/>
      <c r="Q829" s="121"/>
      <c r="R829" s="121"/>
      <c r="S829" s="121"/>
      <c r="T829" s="121"/>
      <c r="U829" s="121"/>
      <c r="V829" s="121"/>
      <c r="W829" s="125"/>
      <c r="X829" s="121"/>
    </row>
    <row r="830" spans="1:24" x14ac:dyDescent="0.2">
      <c r="A830" s="52"/>
      <c r="B830" s="52"/>
      <c r="C830" s="21"/>
      <c r="D830" s="115"/>
      <c r="E830" s="52"/>
      <c r="F830" s="115"/>
      <c r="G830" s="248" t="s">
        <v>60</v>
      </c>
      <c r="H830" s="115"/>
      <c r="I830" s="115"/>
      <c r="J830" s="115"/>
      <c r="K830" s="52"/>
      <c r="L830" s="115"/>
      <c r="M830" s="52"/>
      <c r="N830" s="52"/>
      <c r="O830" s="52"/>
      <c r="P830" s="52"/>
      <c r="Q830" s="52"/>
      <c r="R830" s="52"/>
      <c r="S830" s="52"/>
      <c r="T830" s="52"/>
      <c r="U830" s="52"/>
      <c r="V830" s="52"/>
      <c r="W830" s="91"/>
      <c r="X830" s="91"/>
    </row>
    <row r="831" spans="1:24" ht="27.75" thickBot="1" x14ac:dyDescent="0.4">
      <c r="A831" s="126" t="s">
        <v>107</v>
      </c>
      <c r="B831" s="121"/>
      <c r="C831" s="121"/>
      <c r="D831" s="121"/>
      <c r="E831" s="121"/>
      <c r="F831" s="122"/>
      <c r="G831" s="121"/>
      <c r="H831" s="121"/>
      <c r="I831" s="121"/>
      <c r="J831" s="121"/>
      <c r="K831" s="121"/>
      <c r="L831" s="121"/>
      <c r="M831" s="121"/>
      <c r="N831" s="121"/>
      <c r="O831" s="121"/>
      <c r="P831" s="121"/>
      <c r="Q831" s="121"/>
      <c r="R831" s="121"/>
      <c r="S831" s="121"/>
      <c r="T831" s="121"/>
      <c r="U831" s="121"/>
      <c r="V831" s="121"/>
      <c r="W831" s="125"/>
      <c r="X831" s="125"/>
    </row>
    <row r="832" spans="1:24" x14ac:dyDescent="0.2">
      <c r="A832" s="174"/>
      <c r="B832" s="173"/>
      <c r="C832" s="173"/>
      <c r="D832" s="173"/>
      <c r="E832" s="173"/>
      <c r="F832" s="173"/>
      <c r="G832" s="173"/>
      <c r="H832" s="173"/>
      <c r="I832" s="173"/>
      <c r="J832" s="173"/>
      <c r="K832" s="173"/>
      <c r="L832" s="173"/>
      <c r="M832" s="173"/>
      <c r="N832" s="173"/>
      <c r="O832" s="173"/>
      <c r="P832" s="173"/>
      <c r="Q832" s="173"/>
      <c r="R832" s="173"/>
      <c r="S832" s="173"/>
      <c r="T832" s="173"/>
      <c r="U832" s="173"/>
      <c r="V832" s="173"/>
      <c r="W832" s="173"/>
      <c r="X832" s="181"/>
    </row>
    <row r="833" spans="1:24" ht="13.5" thickBot="1" x14ac:dyDescent="0.25">
      <c r="A833" s="176"/>
      <c r="B833" s="179" t="s">
        <v>112</v>
      </c>
      <c r="C833" s="177"/>
      <c r="D833" s="177"/>
      <c r="E833" s="177"/>
      <c r="F833" s="177"/>
      <c r="G833" s="177"/>
      <c r="H833" s="177"/>
      <c r="I833" s="177"/>
      <c r="J833" s="177"/>
      <c r="K833" s="177"/>
      <c r="L833" s="179" t="s">
        <v>113</v>
      </c>
      <c r="M833" s="177"/>
      <c r="N833" s="177"/>
      <c r="O833" s="177"/>
      <c r="P833" s="177"/>
      <c r="Q833" s="177"/>
      <c r="R833" s="177"/>
      <c r="S833" s="177"/>
      <c r="T833" s="177"/>
      <c r="U833" s="177"/>
      <c r="V833" s="177"/>
      <c r="W833" s="177"/>
      <c r="X833" s="182"/>
    </row>
    <row r="834" spans="1:24" x14ac:dyDescent="0.2">
      <c r="A834" s="175"/>
      <c r="B834" s="155" t="s">
        <v>11</v>
      </c>
      <c r="C834" s="155" t="s">
        <v>12</v>
      </c>
      <c r="D834" s="155" t="s">
        <v>13</v>
      </c>
      <c r="E834" s="155" t="s">
        <v>14</v>
      </c>
      <c r="F834" s="155" t="s">
        <v>15</v>
      </c>
      <c r="G834" s="193" t="s">
        <v>16</v>
      </c>
      <c r="H834" s="21"/>
      <c r="I834" s="155" t="s">
        <v>17</v>
      </c>
      <c r="J834" s="21"/>
      <c r="K834" s="21"/>
      <c r="L834" s="21"/>
      <c r="M834" s="21"/>
      <c r="N834" s="155" t="s">
        <v>18</v>
      </c>
      <c r="O834" s="155" t="s">
        <v>19</v>
      </c>
      <c r="P834" s="155" t="s">
        <v>20</v>
      </c>
      <c r="Q834" s="155" t="s">
        <v>21</v>
      </c>
      <c r="R834" s="193" t="s">
        <v>16</v>
      </c>
      <c r="S834" s="193" t="s">
        <v>114</v>
      </c>
      <c r="T834" s="209" t="s">
        <v>127</v>
      </c>
      <c r="U834" s="207" t="s">
        <v>138</v>
      </c>
      <c r="V834" s="221" t="s">
        <v>136</v>
      </c>
      <c r="W834" s="155" t="s">
        <v>7</v>
      </c>
      <c r="X834" s="194" t="s">
        <v>70</v>
      </c>
    </row>
    <row r="835" spans="1:24" ht="13.5" thickBot="1" x14ac:dyDescent="0.25">
      <c r="A835" s="176"/>
      <c r="B835" s="179" t="s">
        <v>23</v>
      </c>
      <c r="C835" s="179" t="s">
        <v>24</v>
      </c>
      <c r="D835" s="179" t="s">
        <v>25</v>
      </c>
      <c r="E835" s="179" t="s">
        <v>26</v>
      </c>
      <c r="F835" s="179" t="s">
        <v>27</v>
      </c>
      <c r="G835" s="195" t="s">
        <v>28</v>
      </c>
      <c r="H835" s="179"/>
      <c r="I835" s="179" t="s">
        <v>29</v>
      </c>
      <c r="J835" s="179" t="s">
        <v>30</v>
      </c>
      <c r="K835" s="179" t="s">
        <v>31</v>
      </c>
      <c r="L835" s="179" t="s">
        <v>32</v>
      </c>
      <c r="M835" s="179" t="s">
        <v>33</v>
      </c>
      <c r="N835" s="179" t="s">
        <v>34</v>
      </c>
      <c r="O835" s="179" t="s">
        <v>35</v>
      </c>
      <c r="P835" s="179" t="s">
        <v>36</v>
      </c>
      <c r="Q835" s="179" t="s">
        <v>37</v>
      </c>
      <c r="R835" s="195" t="s">
        <v>28</v>
      </c>
      <c r="S835" s="195" t="s">
        <v>129</v>
      </c>
      <c r="T835" s="210" t="s">
        <v>130</v>
      </c>
      <c r="U835" s="179" t="s">
        <v>139</v>
      </c>
      <c r="V835" s="222" t="s">
        <v>143</v>
      </c>
      <c r="W835" s="179" t="s">
        <v>181</v>
      </c>
      <c r="X835" s="196" t="s">
        <v>71</v>
      </c>
    </row>
    <row r="836" spans="1:24" x14ac:dyDescent="0.2">
      <c r="A836" s="175"/>
      <c r="B836" s="117"/>
      <c r="C836" s="117"/>
      <c r="D836" s="117"/>
      <c r="E836" s="117"/>
      <c r="F836" s="117"/>
      <c r="G836" s="178"/>
      <c r="H836" s="52"/>
      <c r="I836" s="117"/>
      <c r="J836" s="117"/>
      <c r="K836" s="117"/>
      <c r="L836" s="117"/>
      <c r="M836" s="117"/>
      <c r="N836" s="117"/>
      <c r="O836" s="117"/>
      <c r="P836" s="117"/>
      <c r="Q836" s="117"/>
      <c r="R836" s="178"/>
      <c r="S836" s="208"/>
      <c r="T836" s="185"/>
      <c r="U836" s="185"/>
      <c r="V836" s="185"/>
      <c r="W836" s="185"/>
      <c r="X836" s="183"/>
    </row>
    <row r="837" spans="1:24" x14ac:dyDescent="0.2">
      <c r="A837" s="191" t="s">
        <v>41</v>
      </c>
      <c r="B837" s="91">
        <v>0</v>
      </c>
      <c r="C837" s="91">
        <v>433438</v>
      </c>
      <c r="D837" s="91">
        <v>5417776</v>
      </c>
      <c r="E837" s="91">
        <v>5960374</v>
      </c>
      <c r="F837" s="91">
        <v>3002906</v>
      </c>
      <c r="G837" s="180">
        <f>SUM(B837:F837)</f>
        <v>14814494</v>
      </c>
      <c r="H837" s="91"/>
      <c r="I837" s="91">
        <v>5604000</v>
      </c>
      <c r="J837" s="91">
        <v>3952681</v>
      </c>
      <c r="K837" s="91">
        <v>172875</v>
      </c>
      <c r="L837" s="91">
        <v>256186</v>
      </c>
      <c r="M837" s="91">
        <v>1866119</v>
      </c>
      <c r="N837" s="91">
        <v>302061</v>
      </c>
      <c r="O837" s="91">
        <v>0</v>
      </c>
      <c r="P837" s="91">
        <v>1952361</v>
      </c>
      <c r="Q837" s="91">
        <v>0</v>
      </c>
      <c r="R837" s="180">
        <f>SUM(I837:Q837)</f>
        <v>14106283</v>
      </c>
      <c r="S837" s="180">
        <f>9567069</f>
        <v>9567069</v>
      </c>
      <c r="T837" s="91">
        <v>0</v>
      </c>
      <c r="U837" s="86">
        <f>S837-9234000</f>
        <v>333069</v>
      </c>
      <c r="V837" s="186">
        <v>0</v>
      </c>
      <c r="W837" s="186">
        <f>R837+G837+S837+T837</f>
        <v>38487846</v>
      </c>
      <c r="X837" s="46"/>
    </row>
    <row r="838" spans="1:24" x14ac:dyDescent="0.2">
      <c r="A838" s="191" t="s">
        <v>42</v>
      </c>
      <c r="B838" s="91">
        <f t="shared" ref="B838:G838" si="371">B824+B837-B790</f>
        <v>0</v>
      </c>
      <c r="C838" s="91">
        <f t="shared" si="371"/>
        <v>22322108.57</v>
      </c>
      <c r="D838" s="91">
        <f t="shared" si="371"/>
        <v>65557588.504999995</v>
      </c>
      <c r="E838" s="91">
        <f t="shared" si="371"/>
        <v>58694417.511000015</v>
      </c>
      <c r="F838" s="91">
        <f t="shared" si="371"/>
        <v>32471234.030000001</v>
      </c>
      <c r="G838" s="180">
        <f t="shared" si="371"/>
        <v>179045348.61600003</v>
      </c>
      <c r="H838" s="91"/>
      <c r="I838" s="91">
        <f t="shared" ref="I838:W838" si="372">I824+I837-I790</f>
        <v>60072000</v>
      </c>
      <c r="J838" s="91">
        <f t="shared" si="372"/>
        <v>35484219</v>
      </c>
      <c r="K838" s="91">
        <f t="shared" si="372"/>
        <v>13235695</v>
      </c>
      <c r="L838" s="91">
        <f t="shared" si="372"/>
        <v>12824355</v>
      </c>
      <c r="M838" s="91">
        <f t="shared" si="372"/>
        <v>21795231</v>
      </c>
      <c r="N838" s="91">
        <f t="shared" si="372"/>
        <v>5460409</v>
      </c>
      <c r="O838" s="91">
        <f t="shared" si="372"/>
        <v>951799</v>
      </c>
      <c r="P838" s="91">
        <f t="shared" si="372"/>
        <v>24217034</v>
      </c>
      <c r="Q838" s="91">
        <f t="shared" si="372"/>
        <v>2004419</v>
      </c>
      <c r="R838" s="180">
        <f t="shared" si="372"/>
        <v>176045161</v>
      </c>
      <c r="S838" s="180">
        <f t="shared" si="372"/>
        <v>102075539</v>
      </c>
      <c r="T838" s="215">
        <f t="shared" si="372"/>
        <v>11331447.813999992</v>
      </c>
      <c r="U838" s="86">
        <f t="shared" si="372"/>
        <v>3631539</v>
      </c>
      <c r="V838" s="86">
        <f t="shared" si="372"/>
        <v>593702</v>
      </c>
      <c r="W838" s="186">
        <f t="shared" si="372"/>
        <v>468497496.42999995</v>
      </c>
      <c r="X838" s="46">
        <f>X824+W837</f>
        <v>8226783316.2070007</v>
      </c>
    </row>
    <row r="839" spans="1:24" x14ac:dyDescent="0.2">
      <c r="A839" s="191"/>
      <c r="B839" s="52"/>
      <c r="C839" s="52"/>
      <c r="D839" s="52"/>
      <c r="E839" s="52"/>
      <c r="F839" s="52"/>
      <c r="G839" s="180"/>
      <c r="H839" s="91"/>
      <c r="I839" s="52"/>
      <c r="J839" s="52"/>
      <c r="K839" s="52"/>
      <c r="L839" s="52"/>
      <c r="M839" s="52"/>
      <c r="N839" s="52"/>
      <c r="O839" s="52"/>
      <c r="P839" s="52"/>
      <c r="Q839" s="52"/>
      <c r="R839" s="180"/>
      <c r="S839" s="178"/>
      <c r="T839" s="218"/>
      <c r="U839" s="217"/>
      <c r="V839" s="185"/>
      <c r="W839" s="186"/>
      <c r="X839" s="46"/>
    </row>
    <row r="840" spans="1:24" x14ac:dyDescent="0.2">
      <c r="A840" s="191" t="s">
        <v>43</v>
      </c>
      <c r="B840" s="91">
        <v>0</v>
      </c>
      <c r="C840" s="91">
        <v>672789</v>
      </c>
      <c r="D840" s="91">
        <v>3770513</v>
      </c>
      <c r="E840" s="91">
        <v>5688171</v>
      </c>
      <c r="F840" s="91">
        <v>2507807</v>
      </c>
      <c r="G840" s="180">
        <f>SUM(B840:F840)</f>
        <v>12639280</v>
      </c>
      <c r="H840" s="91"/>
      <c r="I840" s="91">
        <v>4200000</v>
      </c>
      <c r="J840" s="91">
        <v>3094152</v>
      </c>
      <c r="K840" s="91">
        <v>213237</v>
      </c>
      <c r="L840" s="91">
        <v>272722</v>
      </c>
      <c r="M840" s="91">
        <v>3317228</v>
      </c>
      <c r="N840" s="91">
        <v>749686</v>
      </c>
      <c r="O840" s="91">
        <v>0</v>
      </c>
      <c r="P840" s="91">
        <v>2159225</v>
      </c>
      <c r="Q840" s="91">
        <v>0</v>
      </c>
      <c r="R840" s="180">
        <f>SUM(I840:Q840)</f>
        <v>14006250</v>
      </c>
      <c r="S840" s="180">
        <v>9397598</v>
      </c>
      <c r="T840" s="91">
        <v>1262459</v>
      </c>
      <c r="U840" s="86">
        <f>S840-9177000</f>
        <v>220598</v>
      </c>
      <c r="V840" s="86">
        <v>0</v>
      </c>
      <c r="W840" s="186">
        <f>R840+G840+S840+T840</f>
        <v>37305587</v>
      </c>
      <c r="X840" s="46"/>
    </row>
    <row r="841" spans="1:24" x14ac:dyDescent="0.2">
      <c r="A841" s="191" t="s">
        <v>42</v>
      </c>
      <c r="B841" s="91">
        <f t="shared" ref="B841:G841" si="373">B838+B840-B793</f>
        <v>0</v>
      </c>
      <c r="C841" s="91">
        <f t="shared" si="373"/>
        <v>22719408.109999999</v>
      </c>
      <c r="D841" s="91">
        <f t="shared" si="373"/>
        <v>66108541.504999995</v>
      </c>
      <c r="E841" s="91">
        <f t="shared" si="373"/>
        <v>60457300.721000016</v>
      </c>
      <c r="F841" s="91">
        <f t="shared" si="373"/>
        <v>32613062.420000002</v>
      </c>
      <c r="G841" s="180">
        <f t="shared" si="373"/>
        <v>181898312.75600004</v>
      </c>
      <c r="H841" s="91"/>
      <c r="I841" s="91">
        <f t="shared" ref="I841:W841" si="374">I838+I840-I793</f>
        <v>61620000</v>
      </c>
      <c r="J841" s="91">
        <f t="shared" si="374"/>
        <v>36832371</v>
      </c>
      <c r="K841" s="91">
        <f t="shared" si="374"/>
        <v>13154932</v>
      </c>
      <c r="L841" s="91">
        <f t="shared" si="374"/>
        <v>12794077</v>
      </c>
      <c r="M841" s="91">
        <f t="shared" si="374"/>
        <v>21278459</v>
      </c>
      <c r="N841" s="91">
        <f t="shared" si="374"/>
        <v>6210095</v>
      </c>
      <c r="O841" s="91">
        <f t="shared" si="374"/>
        <v>951799</v>
      </c>
      <c r="P841" s="91">
        <f t="shared" si="374"/>
        <v>26376259</v>
      </c>
      <c r="Q841" s="91">
        <f t="shared" si="374"/>
        <v>2004419</v>
      </c>
      <c r="R841" s="180">
        <f t="shared" si="374"/>
        <v>181222411</v>
      </c>
      <c r="S841" s="180">
        <f t="shared" si="374"/>
        <v>108064231</v>
      </c>
      <c r="T841" s="215">
        <f t="shared" si="374"/>
        <v>12593906.813999992</v>
      </c>
      <c r="U841" s="86">
        <f t="shared" si="374"/>
        <v>3615231</v>
      </c>
      <c r="V841" s="86">
        <f t="shared" si="374"/>
        <v>275102</v>
      </c>
      <c r="W841" s="186">
        <f t="shared" si="374"/>
        <v>483778861.56999993</v>
      </c>
      <c r="X841" s="46">
        <f>X838+W840</f>
        <v>8264088903.2070007</v>
      </c>
    </row>
    <row r="842" spans="1:24" x14ac:dyDescent="0.2">
      <c r="A842" s="191"/>
      <c r="B842" s="91"/>
      <c r="C842" s="91"/>
      <c r="D842" s="91"/>
      <c r="E842" s="91"/>
      <c r="F842" s="91"/>
      <c r="G842" s="180"/>
      <c r="H842" s="91"/>
      <c r="I842" s="91"/>
      <c r="J842" s="91"/>
      <c r="K842" s="91"/>
      <c r="L842" s="91"/>
      <c r="M842" s="91"/>
      <c r="N842" s="91"/>
      <c r="O842" s="91"/>
      <c r="P842" s="91"/>
      <c r="Q842" s="91"/>
      <c r="R842" s="180"/>
      <c r="S842" s="178"/>
      <c r="T842" s="218"/>
      <c r="U842" s="217"/>
      <c r="V842" s="185"/>
      <c r="W842" s="186"/>
      <c r="X842" s="46"/>
    </row>
    <row r="843" spans="1:24" x14ac:dyDescent="0.2">
      <c r="A843" s="191" t="s">
        <v>44</v>
      </c>
      <c r="B843" s="91">
        <v>0</v>
      </c>
      <c r="C843" s="91">
        <v>39931.072999999997</v>
      </c>
      <c r="D843" s="91">
        <v>3668706.1549999998</v>
      </c>
      <c r="E843" s="91">
        <v>5923063.3700000001</v>
      </c>
      <c r="F843" s="91">
        <v>2342002.0529999998</v>
      </c>
      <c r="G843" s="180">
        <f>SUM(B843:F843)</f>
        <v>11973702.650999999</v>
      </c>
      <c r="H843" s="91"/>
      <c r="I843" s="91">
        <v>3072000</v>
      </c>
      <c r="J843" s="91">
        <v>2328189</v>
      </c>
      <c r="K843" s="91">
        <v>6765</v>
      </c>
      <c r="L843" s="91">
        <v>22509</v>
      </c>
      <c r="M843" s="91">
        <v>1771237</v>
      </c>
      <c r="N843" s="91">
        <v>658309</v>
      </c>
      <c r="O843" s="91">
        <v>0</v>
      </c>
      <c r="P843" s="91">
        <v>3369596</v>
      </c>
      <c r="Q843" s="91">
        <v>0</v>
      </c>
      <c r="R843" s="180">
        <f>SUM(I843:Q843)</f>
        <v>11228605</v>
      </c>
      <c r="S843" s="180">
        <v>9056016</v>
      </c>
      <c r="T843" s="91">
        <v>2737199</v>
      </c>
      <c r="U843" s="86">
        <f>S843-8805000</f>
        <v>251016</v>
      </c>
      <c r="V843" s="86">
        <v>0</v>
      </c>
      <c r="W843" s="186">
        <f>R843+G843+S843+T843</f>
        <v>34995522.651000001</v>
      </c>
      <c r="X843" s="46"/>
    </row>
    <row r="844" spans="1:24" x14ac:dyDescent="0.2">
      <c r="A844" s="191" t="s">
        <v>42</v>
      </c>
      <c r="B844" s="91">
        <f t="shared" ref="B844:G844" si="375">B841+B843-B796</f>
        <v>0</v>
      </c>
      <c r="C844" s="91">
        <f t="shared" si="375"/>
        <v>22386717.162999999</v>
      </c>
      <c r="D844" s="91">
        <f t="shared" si="375"/>
        <v>66120107.829999998</v>
      </c>
      <c r="E844" s="91">
        <f t="shared" si="375"/>
        <v>62986855.061000012</v>
      </c>
      <c r="F844" s="91">
        <f t="shared" si="375"/>
        <v>33114870.433000006</v>
      </c>
      <c r="G844" s="180">
        <f t="shared" si="375"/>
        <v>184608550.48700005</v>
      </c>
      <c r="H844" s="91"/>
      <c r="I844" s="91">
        <f t="shared" ref="I844:W844" si="376">I841+I843-I796</f>
        <v>60792000</v>
      </c>
      <c r="J844" s="91">
        <f t="shared" si="376"/>
        <v>37252560</v>
      </c>
      <c r="K844" s="91">
        <f t="shared" si="376"/>
        <v>12828697</v>
      </c>
      <c r="L844" s="91">
        <f t="shared" si="376"/>
        <v>12495586</v>
      </c>
      <c r="M844" s="91">
        <f t="shared" si="376"/>
        <v>21294696</v>
      </c>
      <c r="N844" s="91">
        <f t="shared" si="376"/>
        <v>6868404</v>
      </c>
      <c r="O844" s="91">
        <f t="shared" si="376"/>
        <v>951799</v>
      </c>
      <c r="P844" s="91">
        <f t="shared" si="376"/>
        <v>29745855</v>
      </c>
      <c r="Q844" s="91">
        <f t="shared" si="376"/>
        <v>2004419</v>
      </c>
      <c r="R844" s="180">
        <f t="shared" si="376"/>
        <v>184234016</v>
      </c>
      <c r="S844" s="180">
        <f t="shared" si="376"/>
        <v>112526668</v>
      </c>
      <c r="T844" s="215">
        <f t="shared" si="376"/>
        <v>13997000.813999992</v>
      </c>
      <c r="U844" s="86">
        <f t="shared" si="376"/>
        <v>3630668</v>
      </c>
      <c r="V844" s="86">
        <f t="shared" si="376"/>
        <v>0</v>
      </c>
      <c r="W844" s="186">
        <f t="shared" si="376"/>
        <v>495366235.30099994</v>
      </c>
      <c r="X844" s="46">
        <f>X841+W843</f>
        <v>8299084425.8580008</v>
      </c>
    </row>
    <row r="845" spans="1:24" x14ac:dyDescent="0.2">
      <c r="A845" s="191"/>
      <c r="B845" s="52"/>
      <c r="C845" s="52"/>
      <c r="D845" s="52"/>
      <c r="E845" s="52"/>
      <c r="F845" s="52"/>
      <c r="G845" s="180"/>
      <c r="H845" s="91"/>
      <c r="I845" s="52"/>
      <c r="J845" s="52"/>
      <c r="K845" s="52"/>
      <c r="L845" s="52"/>
      <c r="M845" s="52"/>
      <c r="N845" s="52"/>
      <c r="O845" s="52"/>
      <c r="P845" s="52"/>
      <c r="Q845" s="52"/>
      <c r="R845" s="180"/>
      <c r="S845" s="178"/>
      <c r="T845" s="218"/>
      <c r="U845" s="217"/>
      <c r="V845" s="185"/>
      <c r="W845" s="186"/>
      <c r="X845" s="46"/>
    </row>
    <row r="846" spans="1:24" x14ac:dyDescent="0.2">
      <c r="A846" s="191" t="s">
        <v>45</v>
      </c>
      <c r="B846" s="91">
        <v>0</v>
      </c>
      <c r="C846" s="91">
        <v>0</v>
      </c>
      <c r="D846" s="91">
        <v>5988524</v>
      </c>
      <c r="E846" s="91">
        <v>4438115</v>
      </c>
      <c r="F846" s="91">
        <v>2565728.8319999999</v>
      </c>
      <c r="G846" s="180">
        <f>SUM(B846:F846)</f>
        <v>12992367.832</v>
      </c>
      <c r="H846" s="91"/>
      <c r="I846" s="91">
        <v>5364000</v>
      </c>
      <c r="J846" s="91">
        <v>4134824</v>
      </c>
      <c r="K846" s="91">
        <v>0</v>
      </c>
      <c r="L846" s="91">
        <v>0</v>
      </c>
      <c r="M846" s="91">
        <v>3539333</v>
      </c>
      <c r="N846" s="91">
        <v>582124</v>
      </c>
      <c r="O846" s="91">
        <v>0</v>
      </c>
      <c r="P846" s="91">
        <v>3371480</v>
      </c>
      <c r="Q846" s="91">
        <v>0</v>
      </c>
      <c r="R846" s="180">
        <f>SUM(I846:Q846)</f>
        <v>16991761</v>
      </c>
      <c r="S846" s="180">
        <v>8271646</v>
      </c>
      <c r="T846" s="91">
        <v>0</v>
      </c>
      <c r="U846" s="86">
        <f>8271646-8053000</f>
        <v>218646</v>
      </c>
      <c r="V846" s="86">
        <v>0</v>
      </c>
      <c r="W846" s="186">
        <f>R846+G846+S846+T846</f>
        <v>38255774.832000002</v>
      </c>
      <c r="X846" s="46"/>
    </row>
    <row r="847" spans="1:24" x14ac:dyDescent="0.2">
      <c r="A847" s="191" t="s">
        <v>42</v>
      </c>
      <c r="B847" s="91">
        <f t="shared" ref="B847:G847" si="377">B844+B846-B799</f>
        <v>0</v>
      </c>
      <c r="C847" s="91">
        <f t="shared" si="377"/>
        <v>19821441.652999997</v>
      </c>
      <c r="D847" s="91">
        <f t="shared" si="377"/>
        <v>66487488.449999996</v>
      </c>
      <c r="E847" s="91">
        <f t="shared" si="377"/>
        <v>63700227.081000023</v>
      </c>
      <c r="F847" s="91">
        <f t="shared" si="377"/>
        <v>33194081.555000007</v>
      </c>
      <c r="G847" s="180">
        <f t="shared" si="377"/>
        <v>183203238.73900002</v>
      </c>
      <c r="H847" s="91"/>
      <c r="I847" s="91">
        <f t="shared" ref="I847:W847" si="378">I844+I846-I799</f>
        <v>60684000</v>
      </c>
      <c r="J847" s="91">
        <f t="shared" si="378"/>
        <v>37931384</v>
      </c>
      <c r="K847" s="91">
        <f t="shared" si="378"/>
        <v>11175697</v>
      </c>
      <c r="L847" s="91">
        <f t="shared" si="378"/>
        <v>10824586</v>
      </c>
      <c r="M847" s="91">
        <f t="shared" si="378"/>
        <v>24753029</v>
      </c>
      <c r="N847" s="91">
        <f t="shared" si="378"/>
        <v>7054528</v>
      </c>
      <c r="O847" s="91">
        <f t="shared" si="378"/>
        <v>951799</v>
      </c>
      <c r="P847" s="91">
        <f t="shared" si="378"/>
        <v>33117335</v>
      </c>
      <c r="Q847" s="91">
        <f t="shared" si="378"/>
        <v>2004419</v>
      </c>
      <c r="R847" s="180">
        <f t="shared" si="378"/>
        <v>188496777</v>
      </c>
      <c r="S847" s="180">
        <f t="shared" si="378"/>
        <v>116762631</v>
      </c>
      <c r="T847" s="215">
        <f t="shared" si="378"/>
        <v>11955998.813999992</v>
      </c>
      <c r="U847" s="86">
        <f t="shared" si="378"/>
        <v>3632631</v>
      </c>
      <c r="V847" s="86">
        <f t="shared" si="378"/>
        <v>0</v>
      </c>
      <c r="W847" s="186">
        <f t="shared" si="378"/>
        <v>500418645.55299997</v>
      </c>
      <c r="X847" s="46">
        <f>X844+W846</f>
        <v>8337340200.6900005</v>
      </c>
    </row>
    <row r="848" spans="1:24" x14ac:dyDescent="0.2">
      <c r="A848" s="191"/>
      <c r="B848" s="52"/>
      <c r="C848" s="52"/>
      <c r="D848" s="52"/>
      <c r="E848" s="52"/>
      <c r="F848" s="52"/>
      <c r="G848" s="180"/>
      <c r="H848" s="91"/>
      <c r="I848" s="52"/>
      <c r="J848" s="52"/>
      <c r="K848" s="52"/>
      <c r="L848" s="52"/>
      <c r="M848" s="52"/>
      <c r="N848" s="52"/>
      <c r="O848" s="52"/>
      <c r="P848" s="52"/>
      <c r="Q848" s="52"/>
      <c r="R848" s="180"/>
      <c r="S848" s="180"/>
      <c r="T848" s="44"/>
      <c r="U848" s="86"/>
      <c r="V848" s="186"/>
      <c r="W848" s="186"/>
      <c r="X848" s="46"/>
    </row>
    <row r="849" spans="1:24" x14ac:dyDescent="0.2">
      <c r="A849" s="191" t="s">
        <v>46</v>
      </c>
      <c r="B849" s="91">
        <v>0</v>
      </c>
      <c r="C849" s="91">
        <v>0</v>
      </c>
      <c r="D849" s="91">
        <v>5890496</v>
      </c>
      <c r="E849" s="91">
        <v>5989574</v>
      </c>
      <c r="F849" s="91">
        <v>2449351</v>
      </c>
      <c r="G849" s="180">
        <f>SUM(B849:F849)</f>
        <v>14329421</v>
      </c>
      <c r="H849" s="91"/>
      <c r="I849" s="91">
        <v>5124000</v>
      </c>
      <c r="J849" s="91">
        <v>3855952</v>
      </c>
      <c r="K849" s="91">
        <v>0</v>
      </c>
      <c r="L849" s="91">
        <v>0</v>
      </c>
      <c r="M849" s="91">
        <v>3478918</v>
      </c>
      <c r="N849" s="91">
        <v>683958</v>
      </c>
      <c r="O849" s="91">
        <v>0</v>
      </c>
      <c r="P849" s="91">
        <v>2747710</v>
      </c>
      <c r="Q849" s="91">
        <v>0</v>
      </c>
      <c r="R849" s="180">
        <f>SUM(I849:Q849)</f>
        <v>15890538</v>
      </c>
      <c r="S849" s="180">
        <v>5469657</v>
      </c>
      <c r="T849" s="91">
        <v>1199849.4720000001</v>
      </c>
      <c r="U849" s="86">
        <f>5469657-5307000</f>
        <v>162657</v>
      </c>
      <c r="V849" s="86">
        <v>0</v>
      </c>
      <c r="W849" s="186">
        <f>R849+G849+S849+T849</f>
        <v>36889465.472000003</v>
      </c>
      <c r="X849" s="46"/>
    </row>
    <row r="850" spans="1:24" x14ac:dyDescent="0.2">
      <c r="A850" s="191" t="s">
        <v>42</v>
      </c>
      <c r="B850" s="91">
        <f t="shared" ref="B850:G850" si="379">B847+B849-B802</f>
        <v>0</v>
      </c>
      <c r="C850" s="91">
        <f t="shared" si="379"/>
        <v>16646675.222999997</v>
      </c>
      <c r="D850" s="91">
        <f t="shared" si="379"/>
        <v>65973330.149999991</v>
      </c>
      <c r="E850" s="91">
        <f t="shared" si="379"/>
        <v>66231383.971000031</v>
      </c>
      <c r="F850" s="91">
        <f t="shared" si="379"/>
        <v>33446134.875000007</v>
      </c>
      <c r="G850" s="180">
        <f t="shared" si="379"/>
        <v>182297524.21900001</v>
      </c>
      <c r="H850" s="91"/>
      <c r="I850" s="91">
        <f t="shared" ref="I850:W850" si="380">I847+I849-I802</f>
        <v>61356000</v>
      </c>
      <c r="J850" s="91">
        <f t="shared" si="380"/>
        <v>39042336</v>
      </c>
      <c r="K850" s="91">
        <f t="shared" si="380"/>
        <v>9558697</v>
      </c>
      <c r="L850" s="91">
        <f t="shared" si="380"/>
        <v>9210586</v>
      </c>
      <c r="M850" s="91">
        <f t="shared" si="380"/>
        <v>24937947</v>
      </c>
      <c r="N850" s="91">
        <f t="shared" si="380"/>
        <v>7066486</v>
      </c>
      <c r="O850" s="91">
        <f t="shared" si="380"/>
        <v>951799</v>
      </c>
      <c r="P850" s="91">
        <f t="shared" si="380"/>
        <v>35619045</v>
      </c>
      <c r="Q850" s="91">
        <f t="shared" si="380"/>
        <v>1604419</v>
      </c>
      <c r="R850" s="180">
        <f t="shared" si="380"/>
        <v>189347315</v>
      </c>
      <c r="S850" s="180">
        <f t="shared" si="380"/>
        <v>117172088</v>
      </c>
      <c r="T850" s="215">
        <f t="shared" si="380"/>
        <v>13155848.285999991</v>
      </c>
      <c r="U850" s="86">
        <f t="shared" si="380"/>
        <v>3559088</v>
      </c>
      <c r="V850" s="86">
        <f t="shared" si="380"/>
        <v>0</v>
      </c>
      <c r="W850" s="186">
        <f t="shared" si="380"/>
        <v>501972775.505</v>
      </c>
      <c r="X850" s="46">
        <f>X847+W849</f>
        <v>8374229666.1620007</v>
      </c>
    </row>
    <row r="851" spans="1:24" x14ac:dyDescent="0.2">
      <c r="A851" s="191"/>
      <c r="B851" s="52"/>
      <c r="C851" s="52"/>
      <c r="D851" s="52"/>
      <c r="E851" s="52"/>
      <c r="F851" s="52"/>
      <c r="G851" s="180"/>
      <c r="H851" s="91"/>
      <c r="I851" s="52"/>
      <c r="J851" s="52"/>
      <c r="K851" s="52"/>
      <c r="L851" s="52"/>
      <c r="M851" s="52"/>
      <c r="N851" s="52"/>
      <c r="O851" s="52"/>
      <c r="P851" s="52"/>
      <c r="Q851" s="52"/>
      <c r="R851" s="180"/>
      <c r="S851" s="180"/>
      <c r="T851" s="44"/>
      <c r="U851" s="86"/>
      <c r="V851" s="186"/>
      <c r="W851" s="186"/>
      <c r="X851" s="46"/>
    </row>
    <row r="852" spans="1:24" x14ac:dyDescent="0.2">
      <c r="A852" s="191" t="s">
        <v>47</v>
      </c>
      <c r="B852" s="91">
        <v>321600</v>
      </c>
      <c r="C852" s="91">
        <v>0</v>
      </c>
      <c r="D852" s="91">
        <v>5694982</v>
      </c>
      <c r="E852" s="91">
        <v>5589842</v>
      </c>
      <c r="F852" s="91">
        <v>2460910</v>
      </c>
      <c r="G852" s="180">
        <f>SUM(B852:F852)</f>
        <v>14067334</v>
      </c>
      <c r="H852" s="91"/>
      <c r="I852" s="91">
        <v>5616000</v>
      </c>
      <c r="J852" s="91">
        <v>3420923</v>
      </c>
      <c r="K852" s="91">
        <v>349809</v>
      </c>
      <c r="L852" s="91">
        <v>0</v>
      </c>
      <c r="M852" s="91">
        <v>2846627</v>
      </c>
      <c r="N852" s="91">
        <v>753398</v>
      </c>
      <c r="O852" s="91">
        <v>0</v>
      </c>
      <c r="P852" s="91">
        <v>2400997</v>
      </c>
      <c r="Q852" s="91">
        <v>0</v>
      </c>
      <c r="R852" s="180">
        <f>SUM(I852:Q852)</f>
        <v>15387754</v>
      </c>
      <c r="S852" s="180">
        <v>13062297</v>
      </c>
      <c r="T852" s="91">
        <v>1530763</v>
      </c>
      <c r="U852" s="86">
        <f>13069297-12760000</f>
        <v>309297</v>
      </c>
      <c r="V852" s="86">
        <v>0</v>
      </c>
      <c r="W852" s="186">
        <f>R852+G852+S852+T852</f>
        <v>44048148</v>
      </c>
      <c r="X852" s="247" t="s">
        <v>60</v>
      </c>
    </row>
    <row r="853" spans="1:24" x14ac:dyDescent="0.2">
      <c r="A853" s="191" t="s">
        <v>42</v>
      </c>
      <c r="B853" s="91">
        <f t="shared" ref="B853:G853" si="381">B850+B852-B805</f>
        <v>321600</v>
      </c>
      <c r="C853" s="91">
        <f t="shared" si="381"/>
        <v>13493517.412999997</v>
      </c>
      <c r="D853" s="91">
        <f t="shared" si="381"/>
        <v>65476595.139999993</v>
      </c>
      <c r="E853" s="91">
        <f t="shared" si="381"/>
        <v>66750948.361000031</v>
      </c>
      <c r="F853" s="91">
        <f t="shared" si="381"/>
        <v>33294774.345000006</v>
      </c>
      <c r="G853" s="180">
        <f t="shared" si="381"/>
        <v>179337435.259</v>
      </c>
      <c r="H853" s="91"/>
      <c r="I853" s="91">
        <f t="shared" ref="I853:W853" si="382">I850+I852-I805</f>
        <v>62184000</v>
      </c>
      <c r="J853" s="91">
        <f t="shared" si="382"/>
        <v>39619259</v>
      </c>
      <c r="K853" s="91">
        <f t="shared" si="382"/>
        <v>8144506</v>
      </c>
      <c r="L853" s="91">
        <f t="shared" si="382"/>
        <v>7431586</v>
      </c>
      <c r="M853" s="91">
        <f t="shared" si="382"/>
        <v>24598574</v>
      </c>
      <c r="N853" s="91">
        <f t="shared" si="382"/>
        <v>7211884</v>
      </c>
      <c r="O853" s="91">
        <f t="shared" si="382"/>
        <v>951799</v>
      </c>
      <c r="P853" s="91">
        <f t="shared" si="382"/>
        <v>34792042</v>
      </c>
      <c r="Q853" s="91">
        <f t="shared" si="382"/>
        <v>1604419</v>
      </c>
      <c r="R853" s="180">
        <f t="shared" si="382"/>
        <v>186538069</v>
      </c>
      <c r="S853" s="180">
        <f t="shared" si="382"/>
        <v>122662648</v>
      </c>
      <c r="T853" s="215">
        <f t="shared" si="382"/>
        <v>14686611.285999991</v>
      </c>
      <c r="U853" s="86">
        <f t="shared" si="382"/>
        <v>3601648</v>
      </c>
      <c r="V853" s="86">
        <f t="shared" si="382"/>
        <v>0</v>
      </c>
      <c r="W853" s="186">
        <f t="shared" si="382"/>
        <v>503224763.54500002</v>
      </c>
      <c r="X853" s="46">
        <f>X850+W852</f>
        <v>8418277814.1620007</v>
      </c>
    </row>
    <row r="854" spans="1:24" x14ac:dyDescent="0.2">
      <c r="A854" s="191"/>
      <c r="B854" s="52"/>
      <c r="C854" s="52"/>
      <c r="D854" s="52"/>
      <c r="E854" s="52"/>
      <c r="F854" s="52"/>
      <c r="G854" s="180"/>
      <c r="H854" s="91"/>
      <c r="I854" s="52"/>
      <c r="J854" s="52"/>
      <c r="K854" s="52"/>
      <c r="L854" s="52"/>
      <c r="M854" s="52"/>
      <c r="N854" s="52"/>
      <c r="O854" s="52"/>
      <c r="P854" s="52"/>
      <c r="Q854" s="52"/>
      <c r="R854" s="180"/>
      <c r="S854" s="180" t="s">
        <v>105</v>
      </c>
      <c r="T854" s="44"/>
      <c r="U854" s="86"/>
      <c r="V854" s="186"/>
      <c r="W854" s="186"/>
      <c r="X854" s="46"/>
    </row>
    <row r="855" spans="1:24" x14ac:dyDescent="0.2">
      <c r="A855" s="191" t="s">
        <v>48</v>
      </c>
      <c r="B855" s="91">
        <v>0</v>
      </c>
      <c r="C855" s="91">
        <v>1839866.92</v>
      </c>
      <c r="D855" s="91">
        <v>5851514.1359999999</v>
      </c>
      <c r="E855" s="91">
        <v>5515474.2010000004</v>
      </c>
      <c r="F855" s="91">
        <v>2676085.7429999998</v>
      </c>
      <c r="G855" s="180">
        <f>SUM(B855:F855)</f>
        <v>15882941</v>
      </c>
      <c r="H855" s="91"/>
      <c r="I855" s="91">
        <v>4512000</v>
      </c>
      <c r="J855" s="91">
        <v>2596459</v>
      </c>
      <c r="K855" s="91">
        <v>1652388</v>
      </c>
      <c r="L855" s="91">
        <v>1374931</v>
      </c>
      <c r="M855" s="91">
        <v>2427031</v>
      </c>
      <c r="N855" s="91">
        <v>770500</v>
      </c>
      <c r="O855" s="91">
        <v>0</v>
      </c>
      <c r="P855" s="91">
        <v>2665326</v>
      </c>
      <c r="Q855" s="91">
        <v>895332</v>
      </c>
      <c r="R855" s="180">
        <f>SUM(I855:Q855)</f>
        <v>16893967</v>
      </c>
      <c r="S855" s="180">
        <v>16370960</v>
      </c>
      <c r="T855" s="91">
        <v>1793473.3910000001</v>
      </c>
      <c r="U855" s="86">
        <f>16370960-15648000</f>
        <v>722960</v>
      </c>
      <c r="V855" s="86">
        <v>0</v>
      </c>
      <c r="W855" s="186">
        <f>R855+G855+S855+T855</f>
        <v>50941341.391000003</v>
      </c>
      <c r="X855" s="46"/>
    </row>
    <row r="856" spans="1:24" x14ac:dyDescent="0.2">
      <c r="A856" s="191" t="s">
        <v>42</v>
      </c>
      <c r="B856" s="91">
        <f t="shared" ref="B856:G856" si="383">B853+B855-B808</f>
        <v>321600</v>
      </c>
      <c r="C856" s="91">
        <f t="shared" si="383"/>
        <v>12211549.332999997</v>
      </c>
      <c r="D856" s="91">
        <f t="shared" si="383"/>
        <v>64965652.275999993</v>
      </c>
      <c r="E856" s="91">
        <f t="shared" si="383"/>
        <v>66406531.562000036</v>
      </c>
      <c r="F856" s="91">
        <f t="shared" si="383"/>
        <v>33061304.088000007</v>
      </c>
      <c r="G856" s="180">
        <f t="shared" si="383"/>
        <v>176966637.259</v>
      </c>
      <c r="H856" s="91"/>
      <c r="I856" s="91">
        <f t="shared" ref="I856:W856" si="384">I853+I855-I808</f>
        <v>61188000</v>
      </c>
      <c r="J856" s="91">
        <f t="shared" si="384"/>
        <v>38849718</v>
      </c>
      <c r="K856" s="91">
        <f t="shared" si="384"/>
        <v>8071894</v>
      </c>
      <c r="L856" s="91">
        <f t="shared" si="384"/>
        <v>7048517</v>
      </c>
      <c r="M856" s="91">
        <f t="shared" si="384"/>
        <v>24244605</v>
      </c>
      <c r="N856" s="91">
        <f t="shared" si="384"/>
        <v>7328384</v>
      </c>
      <c r="O856" s="91">
        <f t="shared" si="384"/>
        <v>951799</v>
      </c>
      <c r="P856" s="91">
        <f t="shared" si="384"/>
        <v>34169368</v>
      </c>
      <c r="Q856" s="91">
        <f t="shared" si="384"/>
        <v>2499751</v>
      </c>
      <c r="R856" s="180">
        <f t="shared" si="384"/>
        <v>184352036</v>
      </c>
      <c r="S856" s="180">
        <f t="shared" si="384"/>
        <v>126709341</v>
      </c>
      <c r="T856" s="215">
        <f t="shared" si="384"/>
        <v>16480084.676999992</v>
      </c>
      <c r="U856" s="86">
        <f t="shared" si="384"/>
        <v>3995341</v>
      </c>
      <c r="V856" s="86">
        <f t="shared" si="384"/>
        <v>0</v>
      </c>
      <c r="W856" s="186">
        <f t="shared" si="384"/>
        <v>504508098.93599999</v>
      </c>
      <c r="X856" s="46">
        <f>X853+W855</f>
        <v>8469219155.5530005</v>
      </c>
    </row>
    <row r="857" spans="1:24" x14ac:dyDescent="0.2">
      <c r="A857" s="191"/>
      <c r="B857" s="52"/>
      <c r="C857" s="52"/>
      <c r="D857" s="52"/>
      <c r="E857" s="52"/>
      <c r="F857" s="52"/>
      <c r="G857" s="180"/>
      <c r="H857" s="91"/>
      <c r="I857" s="52"/>
      <c r="J857" s="52"/>
      <c r="K857" s="52"/>
      <c r="L857" s="52"/>
      <c r="M857" s="52"/>
      <c r="N857" s="52"/>
      <c r="O857" s="52"/>
      <c r="P857" s="52"/>
      <c r="Q857" s="52"/>
      <c r="R857" s="180"/>
      <c r="S857" s="180"/>
      <c r="T857" s="44"/>
      <c r="U857" s="86"/>
      <c r="V857" s="186"/>
      <c r="W857" s="186"/>
      <c r="X857" s="46"/>
    </row>
    <row r="858" spans="1:24" x14ac:dyDescent="0.2">
      <c r="A858" s="191" t="s">
        <v>49</v>
      </c>
      <c r="B858" s="91">
        <v>0</v>
      </c>
      <c r="C858" s="91">
        <v>2806263.1090000002</v>
      </c>
      <c r="D858" s="91">
        <v>5911532.9029999999</v>
      </c>
      <c r="E858" s="91">
        <v>5121097.2790000001</v>
      </c>
      <c r="F858" s="91">
        <v>1866935.4280000001</v>
      </c>
      <c r="G858" s="180">
        <f>SUM(B858:F858)</f>
        <v>15705828.719000001</v>
      </c>
      <c r="H858" s="91"/>
      <c r="I858" s="91">
        <v>5328000</v>
      </c>
      <c r="J858" s="91">
        <v>2896586</v>
      </c>
      <c r="K858" s="91">
        <v>1832322</v>
      </c>
      <c r="L858" s="91">
        <v>1581008</v>
      </c>
      <c r="M858" s="91">
        <v>2667985</v>
      </c>
      <c r="N858" s="91">
        <v>775179</v>
      </c>
      <c r="O858" s="91">
        <v>0</v>
      </c>
      <c r="P858" s="91">
        <v>3331464</v>
      </c>
      <c r="Q858" s="91">
        <v>1814027</v>
      </c>
      <c r="R858" s="180">
        <f>SUM(I858:Q858)</f>
        <v>20226571</v>
      </c>
      <c r="S858" s="180">
        <v>16319299</v>
      </c>
      <c r="T858" s="91">
        <v>3055684.5619999999</v>
      </c>
      <c r="U858" s="86">
        <f>16319299-15624000</f>
        <v>695299</v>
      </c>
      <c r="V858" s="86">
        <v>0</v>
      </c>
      <c r="W858" s="186">
        <f>R858+G858+S858+T858</f>
        <v>55307383.280999996</v>
      </c>
      <c r="X858" s="46"/>
    </row>
    <row r="859" spans="1:24" x14ac:dyDescent="0.2">
      <c r="A859" s="191" t="s">
        <v>42</v>
      </c>
      <c r="B859" s="91">
        <f t="shared" ref="B859:G859" si="385">B856+B858-B811</f>
        <v>321600</v>
      </c>
      <c r="C859" s="91">
        <f t="shared" si="385"/>
        <v>12194557.101999998</v>
      </c>
      <c r="D859" s="91">
        <f t="shared" si="385"/>
        <v>64544732.588999987</v>
      </c>
      <c r="E859" s="91">
        <f t="shared" si="385"/>
        <v>65960938.201000035</v>
      </c>
      <c r="F859" s="91">
        <f t="shared" si="385"/>
        <v>31879839.056000009</v>
      </c>
      <c r="G859" s="180">
        <f t="shared" si="385"/>
        <v>174901666.94800001</v>
      </c>
      <c r="H859" s="91"/>
      <c r="I859" s="91">
        <f t="shared" ref="I859:W859" si="386">I856+I858-I811</f>
        <v>60924000</v>
      </c>
      <c r="J859" s="91">
        <f t="shared" si="386"/>
        <v>37864345</v>
      </c>
      <c r="K859" s="91">
        <f t="shared" si="386"/>
        <v>8191216</v>
      </c>
      <c r="L859" s="91">
        <f t="shared" si="386"/>
        <v>6992740</v>
      </c>
      <c r="M859" s="91">
        <f t="shared" si="386"/>
        <v>25858897</v>
      </c>
      <c r="N859" s="91">
        <f t="shared" si="386"/>
        <v>7267912</v>
      </c>
      <c r="O859" s="91">
        <f t="shared" si="386"/>
        <v>496856</v>
      </c>
      <c r="P859" s="91">
        <f t="shared" si="386"/>
        <v>34011533</v>
      </c>
      <c r="Q859" s="91">
        <f t="shared" si="386"/>
        <v>4313778</v>
      </c>
      <c r="R859" s="180">
        <f t="shared" si="386"/>
        <v>185921277</v>
      </c>
      <c r="S859" s="180">
        <f t="shared" si="386"/>
        <v>130037493</v>
      </c>
      <c r="T859" s="215">
        <f t="shared" si="386"/>
        <v>19535769.238999993</v>
      </c>
      <c r="U859" s="86">
        <f t="shared" si="386"/>
        <v>4431493</v>
      </c>
      <c r="V859" s="86">
        <f t="shared" si="386"/>
        <v>0</v>
      </c>
      <c r="W859" s="186">
        <f t="shared" si="386"/>
        <v>510396206.18700004</v>
      </c>
      <c r="X859" s="46">
        <f>X856+W858</f>
        <v>8524526538.8340006</v>
      </c>
    </row>
    <row r="860" spans="1:24" x14ac:dyDescent="0.2">
      <c r="A860" s="191"/>
      <c r="B860" s="52"/>
      <c r="C860" s="52"/>
      <c r="D860" s="52"/>
      <c r="E860" s="52"/>
      <c r="F860" s="52"/>
      <c r="G860" s="180"/>
      <c r="H860" s="91"/>
      <c r="I860" s="52"/>
      <c r="J860" s="52"/>
      <c r="K860" s="52"/>
      <c r="L860" s="52"/>
      <c r="M860" s="52"/>
      <c r="N860" s="52"/>
      <c r="O860" s="52"/>
      <c r="P860" s="52"/>
      <c r="Q860" s="52"/>
      <c r="R860" s="180"/>
      <c r="S860" s="180"/>
      <c r="T860" s="44"/>
      <c r="U860" s="86"/>
      <c r="V860" s="186"/>
      <c r="W860" s="186"/>
      <c r="X860" s="46"/>
    </row>
    <row r="861" spans="1:24" x14ac:dyDescent="0.2">
      <c r="A861" s="191" t="s">
        <v>50</v>
      </c>
      <c r="B861" s="91">
        <v>19200</v>
      </c>
      <c r="C861" s="91">
        <v>2344726.6570000001</v>
      </c>
      <c r="D861" s="91">
        <v>3692644.662</v>
      </c>
      <c r="E861" s="91">
        <v>4189012.4</v>
      </c>
      <c r="F861" s="91">
        <v>1632372.848</v>
      </c>
      <c r="G861" s="180">
        <f>SUM(B861:F861)</f>
        <v>11877956.567</v>
      </c>
      <c r="H861" s="91"/>
      <c r="I861" s="91">
        <v>5472000</v>
      </c>
      <c r="J861" s="91">
        <v>4093346</v>
      </c>
      <c r="K861" s="91">
        <v>1551160</v>
      </c>
      <c r="L861" s="91">
        <v>1356995</v>
      </c>
      <c r="M861" s="91">
        <v>3012022</v>
      </c>
      <c r="N861" s="91">
        <v>778524</v>
      </c>
      <c r="O861" s="91">
        <v>0</v>
      </c>
      <c r="P861" s="91">
        <v>3213164</v>
      </c>
      <c r="Q861" s="91">
        <v>1579338</v>
      </c>
      <c r="R861" s="180">
        <f>SUM(I861:Q861)</f>
        <v>21056549</v>
      </c>
      <c r="S861" s="180">
        <v>15387925.833000001</v>
      </c>
      <c r="T861" s="91">
        <v>4750680.1239999998</v>
      </c>
      <c r="U861" s="86">
        <f>S861-14904000</f>
        <v>483925.83300000057</v>
      </c>
      <c r="V861" s="86">
        <v>0</v>
      </c>
      <c r="W861" s="186">
        <f>R861+G861+S861+T861</f>
        <v>53073111.524000004</v>
      </c>
      <c r="X861" s="46"/>
    </row>
    <row r="862" spans="1:24" x14ac:dyDescent="0.2">
      <c r="A862" s="191" t="s">
        <v>42</v>
      </c>
      <c r="B862" s="91">
        <f t="shared" ref="B862:G862" si="387">B859+B861-B814</f>
        <v>340800</v>
      </c>
      <c r="C862" s="91">
        <f t="shared" si="387"/>
        <v>11893651.758999998</v>
      </c>
      <c r="D862" s="91">
        <f t="shared" si="387"/>
        <v>63140429.250999987</v>
      </c>
      <c r="E862" s="91">
        <f t="shared" si="387"/>
        <v>64758391.601000041</v>
      </c>
      <c r="F862" s="91">
        <f t="shared" si="387"/>
        <v>30575138.90400001</v>
      </c>
      <c r="G862" s="180">
        <f t="shared" si="387"/>
        <v>170708411.51500002</v>
      </c>
      <c r="H862" s="91"/>
      <c r="I862" s="91">
        <f t="shared" ref="I862:W862" si="388">I859+I861-I814</f>
        <v>61488000</v>
      </c>
      <c r="J862" s="91">
        <f t="shared" si="388"/>
        <v>39365731</v>
      </c>
      <c r="K862" s="91">
        <f t="shared" si="388"/>
        <v>8020376</v>
      </c>
      <c r="L862" s="91">
        <f t="shared" si="388"/>
        <v>6605494</v>
      </c>
      <c r="M862" s="91">
        <f t="shared" si="388"/>
        <v>28870919</v>
      </c>
      <c r="N862" s="91">
        <f t="shared" si="388"/>
        <v>7358681</v>
      </c>
      <c r="O862" s="91">
        <f t="shared" si="388"/>
        <v>0</v>
      </c>
      <c r="P862" s="91">
        <f t="shared" si="388"/>
        <v>34344144</v>
      </c>
      <c r="Q862" s="91">
        <f t="shared" si="388"/>
        <v>4937976</v>
      </c>
      <c r="R862" s="180">
        <f t="shared" si="388"/>
        <v>190991321</v>
      </c>
      <c r="S862" s="180">
        <f t="shared" si="388"/>
        <v>133168787.833</v>
      </c>
      <c r="T862" s="215">
        <f t="shared" si="388"/>
        <v>21681268.362999991</v>
      </c>
      <c r="U862" s="86">
        <f t="shared" si="388"/>
        <v>4606787.8330000006</v>
      </c>
      <c r="V862" s="86">
        <f t="shared" si="388"/>
        <v>0</v>
      </c>
      <c r="W862" s="186">
        <f t="shared" si="388"/>
        <v>516549788.71100008</v>
      </c>
      <c r="X862" s="46">
        <f>X859+W861</f>
        <v>8577599650.3580008</v>
      </c>
    </row>
    <row r="863" spans="1:24" x14ac:dyDescent="0.2">
      <c r="A863" s="191"/>
      <c r="B863" s="52"/>
      <c r="C863" s="52"/>
      <c r="D863" s="52"/>
      <c r="E863" s="52"/>
      <c r="F863" s="52"/>
      <c r="G863" s="180"/>
      <c r="H863" s="91"/>
      <c r="I863" s="52"/>
      <c r="J863" s="52"/>
      <c r="K863" s="52"/>
      <c r="L863" s="52"/>
      <c r="M863" s="52"/>
      <c r="N863" s="52"/>
      <c r="O863" s="52"/>
      <c r="P863" s="52"/>
      <c r="Q863" s="52"/>
      <c r="R863" s="180"/>
      <c r="S863" s="180"/>
      <c r="T863" s="44"/>
      <c r="U863" s="86"/>
      <c r="V863" s="186"/>
      <c r="W863" s="186"/>
      <c r="X863" s="46"/>
    </row>
    <row r="864" spans="1:24" x14ac:dyDescent="0.2">
      <c r="A864" s="191" t="s">
        <v>51</v>
      </c>
      <c r="B864" s="91">
        <v>0</v>
      </c>
      <c r="C864" s="91">
        <v>1424821.199</v>
      </c>
      <c r="D864" s="91">
        <v>3990505.7850000001</v>
      </c>
      <c r="E864" s="91">
        <v>4456844.0310000004</v>
      </c>
      <c r="F864" s="91">
        <v>925641.32700000005</v>
      </c>
      <c r="G864" s="180">
        <f>SUM(B864:F864)</f>
        <v>10797812.342</v>
      </c>
      <c r="H864" s="91"/>
      <c r="I864" s="91">
        <v>5760000</v>
      </c>
      <c r="J864" s="91">
        <v>3884714</v>
      </c>
      <c r="K864" s="91">
        <v>910291</v>
      </c>
      <c r="L864" s="91">
        <v>814127</v>
      </c>
      <c r="M864" s="91">
        <v>3518952</v>
      </c>
      <c r="N864" s="91">
        <v>724011</v>
      </c>
      <c r="O864" s="91">
        <v>0</v>
      </c>
      <c r="P864" s="91">
        <v>3263391</v>
      </c>
      <c r="Q864" s="91">
        <v>1718852</v>
      </c>
      <c r="R864" s="180">
        <f>SUM(I864:Q864)</f>
        <v>20594338</v>
      </c>
      <c r="S864" s="180">
        <v>16125223</v>
      </c>
      <c r="T864" s="91">
        <v>6399751.0499999998</v>
      </c>
      <c r="U864" s="86">
        <f>S864-15609000</f>
        <v>516223</v>
      </c>
      <c r="V864" s="86">
        <v>0</v>
      </c>
      <c r="W864" s="186">
        <f>R864+G864+S864+T864</f>
        <v>53917124.391999997</v>
      </c>
      <c r="X864" s="46"/>
    </row>
    <row r="865" spans="1:24" x14ac:dyDescent="0.2">
      <c r="A865" s="191" t="s">
        <v>42</v>
      </c>
      <c r="B865" s="91">
        <f t="shared" ref="B865:G865" si="389">B862+B864-B817</f>
        <v>340800</v>
      </c>
      <c r="C865" s="91">
        <f t="shared" si="389"/>
        <v>11954475.957999997</v>
      </c>
      <c r="D865" s="91">
        <f t="shared" si="389"/>
        <v>61206079.035999984</v>
      </c>
      <c r="E865" s="91">
        <f t="shared" si="389"/>
        <v>64832409.632000044</v>
      </c>
      <c r="F865" s="91">
        <f t="shared" si="389"/>
        <v>28329646.23100001</v>
      </c>
      <c r="G865" s="180">
        <f t="shared" si="389"/>
        <v>166663410.85700002</v>
      </c>
      <c r="H865" s="91"/>
      <c r="I865" s="91">
        <f t="shared" ref="I865:W865" si="390">I862+I864-I817</f>
        <v>61404000</v>
      </c>
      <c r="J865" s="91">
        <f t="shared" si="390"/>
        <v>42540138</v>
      </c>
      <c r="K865" s="91">
        <f t="shared" si="390"/>
        <v>8078667</v>
      </c>
      <c r="L865" s="91">
        <f t="shared" si="390"/>
        <v>6591665</v>
      </c>
      <c r="M865" s="91">
        <f t="shared" si="390"/>
        <v>31029960</v>
      </c>
      <c r="N865" s="91">
        <f t="shared" si="390"/>
        <v>7609396</v>
      </c>
      <c r="O865" s="91">
        <f t="shared" si="390"/>
        <v>0</v>
      </c>
      <c r="P865" s="91">
        <f t="shared" si="390"/>
        <v>34948006</v>
      </c>
      <c r="Q865" s="91">
        <f t="shared" si="390"/>
        <v>6007549</v>
      </c>
      <c r="R865" s="180">
        <f t="shared" si="390"/>
        <v>198209381</v>
      </c>
      <c r="S865" s="180">
        <f t="shared" si="390"/>
        <v>137175026.833</v>
      </c>
      <c r="T865" s="215">
        <f t="shared" si="390"/>
        <v>26093028.598999992</v>
      </c>
      <c r="U865" s="86">
        <f t="shared" si="390"/>
        <v>4649026.8330000006</v>
      </c>
      <c r="V865" s="86">
        <f t="shared" si="390"/>
        <v>0</v>
      </c>
      <c r="W865" s="186">
        <f t="shared" si="390"/>
        <v>528140847.28900003</v>
      </c>
      <c r="X865" s="46">
        <f>X862+W864</f>
        <v>8631516774.75</v>
      </c>
    </row>
    <row r="866" spans="1:24" x14ac:dyDescent="0.2">
      <c r="A866" s="191"/>
      <c r="B866" s="52"/>
      <c r="C866" s="52"/>
      <c r="D866" s="52"/>
      <c r="E866" s="52"/>
      <c r="F866" s="52"/>
      <c r="G866" s="180"/>
      <c r="H866" s="91"/>
      <c r="I866" s="52"/>
      <c r="J866" s="52"/>
      <c r="K866" s="52"/>
      <c r="L866" s="52"/>
      <c r="M866" s="52"/>
      <c r="N866" s="52"/>
      <c r="O866" s="52"/>
      <c r="P866" s="52"/>
      <c r="Q866" s="52"/>
      <c r="R866" s="180"/>
      <c r="S866" s="180"/>
      <c r="T866" s="44"/>
      <c r="U866" s="86"/>
      <c r="V866" s="186"/>
      <c r="W866" s="186"/>
      <c r="X866" s="46"/>
    </row>
    <row r="867" spans="1:24" x14ac:dyDescent="0.2">
      <c r="A867" s="191" t="s">
        <v>52</v>
      </c>
      <c r="B867" s="91">
        <v>0</v>
      </c>
      <c r="C867" s="91">
        <v>400791</v>
      </c>
      <c r="D867" s="91">
        <v>1961850</v>
      </c>
      <c r="E867" s="91">
        <v>5084969</v>
      </c>
      <c r="F867" s="91">
        <v>2116297</v>
      </c>
      <c r="G867" s="180">
        <f>SUM(B867:F867)</f>
        <v>9563907</v>
      </c>
      <c r="H867" s="91"/>
      <c r="I867" s="91">
        <v>5544000</v>
      </c>
      <c r="J867" s="91">
        <v>3918439</v>
      </c>
      <c r="K867" s="91">
        <v>280101</v>
      </c>
      <c r="L867" s="91">
        <v>261740</v>
      </c>
      <c r="M867" s="91">
        <v>2586123</v>
      </c>
      <c r="N867" s="91">
        <v>653158</v>
      </c>
      <c r="O867" s="91">
        <v>0</v>
      </c>
      <c r="P867" s="91">
        <v>613999</v>
      </c>
      <c r="Q867" s="91">
        <v>952247</v>
      </c>
      <c r="R867" s="180">
        <f>SUM(I867:Q867)</f>
        <v>14809807</v>
      </c>
      <c r="S867" s="180">
        <f>14404013</f>
        <v>14404013</v>
      </c>
      <c r="T867" s="91">
        <v>7377813.9680000003</v>
      </c>
      <c r="U867" s="86">
        <f>S867-13888000</f>
        <v>516013</v>
      </c>
      <c r="V867" s="86">
        <v>0</v>
      </c>
      <c r="W867" s="186">
        <f>R867+G867+S867+T867</f>
        <v>46155540.968000002</v>
      </c>
      <c r="X867" s="46"/>
    </row>
    <row r="868" spans="1:24" x14ac:dyDescent="0.2">
      <c r="A868" s="191" t="s">
        <v>42</v>
      </c>
      <c r="B868" s="91">
        <f t="shared" ref="B868:G868" si="391">B865+B867-B820</f>
        <v>340800</v>
      </c>
      <c r="C868" s="91">
        <f t="shared" si="391"/>
        <v>11324543.957999997</v>
      </c>
      <c r="D868" s="91">
        <f t="shared" si="391"/>
        <v>57201521.035999984</v>
      </c>
      <c r="E868" s="91">
        <f t="shared" si="391"/>
        <v>64144893.632000044</v>
      </c>
      <c r="F868" s="91">
        <f t="shared" si="391"/>
        <v>27385140.23100001</v>
      </c>
      <c r="G868" s="180">
        <f t="shared" si="391"/>
        <v>160396898.85700002</v>
      </c>
      <c r="H868" s="91"/>
      <c r="I868" s="91">
        <f t="shared" ref="I868:W868" si="392">I865+I867-I820</f>
        <v>61488000</v>
      </c>
      <c r="J868" s="91">
        <f t="shared" si="392"/>
        <v>42416459</v>
      </c>
      <c r="K868" s="91">
        <f t="shared" si="392"/>
        <v>7787630</v>
      </c>
      <c r="L868" s="91">
        <f t="shared" si="392"/>
        <v>6311353</v>
      </c>
      <c r="M868" s="91">
        <f t="shared" si="392"/>
        <v>32171195</v>
      </c>
      <c r="N868" s="91">
        <f t="shared" si="392"/>
        <v>7927750</v>
      </c>
      <c r="O868" s="91">
        <f t="shared" si="392"/>
        <v>0</v>
      </c>
      <c r="P868" s="91">
        <f t="shared" si="392"/>
        <v>32443094</v>
      </c>
      <c r="Q868" s="91">
        <f t="shared" si="392"/>
        <v>6959796</v>
      </c>
      <c r="R868" s="180">
        <f t="shared" si="392"/>
        <v>197505277</v>
      </c>
      <c r="S868" s="180">
        <f t="shared" si="392"/>
        <v>142590951.833</v>
      </c>
      <c r="T868" s="215">
        <f t="shared" si="392"/>
        <v>32190812.566999994</v>
      </c>
      <c r="U868" s="86">
        <f t="shared" si="392"/>
        <v>4792951.8330000006</v>
      </c>
      <c r="V868" s="86">
        <f t="shared" si="392"/>
        <v>0</v>
      </c>
      <c r="W868" s="186">
        <f t="shared" si="392"/>
        <v>532683940.25700009</v>
      </c>
      <c r="X868" s="46">
        <f>X865+W867</f>
        <v>8677672315.7180004</v>
      </c>
    </row>
    <row r="869" spans="1:24" x14ac:dyDescent="0.2">
      <c r="A869" s="191"/>
      <c r="B869" s="52"/>
      <c r="C869" s="52"/>
      <c r="D869" s="52"/>
      <c r="E869" s="52"/>
      <c r="F869" s="52"/>
      <c r="G869" s="180"/>
      <c r="H869" s="91"/>
      <c r="I869" s="52"/>
      <c r="J869" s="52"/>
      <c r="K869" s="52"/>
      <c r="L869" s="52"/>
      <c r="M869" s="52"/>
      <c r="N869" s="52"/>
      <c r="O869" s="52"/>
      <c r="P869" s="52"/>
      <c r="Q869" s="52"/>
      <c r="R869" s="180"/>
      <c r="S869" s="180"/>
      <c r="T869" s="44"/>
      <c r="U869" s="86"/>
      <c r="V869" s="186"/>
      <c r="W869" s="186"/>
      <c r="X869" s="46"/>
    </row>
    <row r="870" spans="1:24" x14ac:dyDescent="0.2">
      <c r="A870" s="191" t="s">
        <v>53</v>
      </c>
      <c r="B870" s="91">
        <v>0</v>
      </c>
      <c r="C870" s="91">
        <v>0</v>
      </c>
      <c r="D870" s="91">
        <v>288818</v>
      </c>
      <c r="E870" s="91">
        <v>5872255</v>
      </c>
      <c r="F870" s="91">
        <v>2968231</v>
      </c>
      <c r="G870" s="180">
        <f>SUM(B870:F870)</f>
        <v>9129304</v>
      </c>
      <c r="H870" s="91"/>
      <c r="I870" s="91">
        <v>4884000</v>
      </c>
      <c r="J870" s="91">
        <v>2065705</v>
      </c>
      <c r="K870" s="91">
        <v>0</v>
      </c>
      <c r="L870" s="91">
        <v>0</v>
      </c>
      <c r="M870" s="91">
        <v>3357838</v>
      </c>
      <c r="N870" s="91">
        <v>776166</v>
      </c>
      <c r="O870" s="91">
        <v>0</v>
      </c>
      <c r="P870" s="91">
        <v>1961256</v>
      </c>
      <c r="Q870" s="91">
        <v>0</v>
      </c>
      <c r="R870" s="180">
        <f>SUM(I870:Q870)</f>
        <v>13044965</v>
      </c>
      <c r="S870" s="180">
        <v>9406740</v>
      </c>
      <c r="T870" s="91">
        <v>3723079</v>
      </c>
      <c r="U870" s="86">
        <f>S870-9288000</f>
        <v>118740</v>
      </c>
      <c r="V870" s="86">
        <v>2563013</v>
      </c>
      <c r="W870" s="186">
        <f>R870+G870+S870+T870</f>
        <v>35304088</v>
      </c>
      <c r="X870" s="46"/>
    </row>
    <row r="871" spans="1:24" ht="13.5" thickBot="1" x14ac:dyDescent="0.25">
      <c r="A871" s="192" t="s">
        <v>42</v>
      </c>
      <c r="B871" s="187">
        <f t="shared" ref="B871:G871" si="393">B868+B870-B823</f>
        <v>340800</v>
      </c>
      <c r="C871" s="187">
        <f t="shared" si="393"/>
        <v>9962626.9579999968</v>
      </c>
      <c r="D871" s="187">
        <f t="shared" si="393"/>
        <v>52127862.640999988</v>
      </c>
      <c r="E871" s="187">
        <f t="shared" si="393"/>
        <v>63828791.281000048</v>
      </c>
      <c r="F871" s="187">
        <f t="shared" si="393"/>
        <v>27514268.23100001</v>
      </c>
      <c r="G871" s="188">
        <f t="shared" si="393"/>
        <v>153774349.11100003</v>
      </c>
      <c r="H871" s="187"/>
      <c r="I871" s="187">
        <f t="shared" ref="I871:W871" si="394">I868+I870-I823</f>
        <v>60480000</v>
      </c>
      <c r="J871" s="187">
        <f t="shared" si="394"/>
        <v>40241970</v>
      </c>
      <c r="K871" s="187">
        <f t="shared" si="394"/>
        <v>6968948</v>
      </c>
      <c r="L871" s="187">
        <f t="shared" si="394"/>
        <v>5940218</v>
      </c>
      <c r="M871" s="187">
        <f t="shared" si="394"/>
        <v>34389413</v>
      </c>
      <c r="N871" s="187">
        <f t="shared" si="394"/>
        <v>8207074</v>
      </c>
      <c r="O871" s="187">
        <f t="shared" si="394"/>
        <v>0</v>
      </c>
      <c r="P871" s="187">
        <f t="shared" si="394"/>
        <v>31049969</v>
      </c>
      <c r="Q871" s="187">
        <f t="shared" si="394"/>
        <v>6959796</v>
      </c>
      <c r="R871" s="188">
        <f t="shared" si="394"/>
        <v>194237388</v>
      </c>
      <c r="S871" s="188">
        <f t="shared" si="394"/>
        <v>142838443.833</v>
      </c>
      <c r="T871" s="212">
        <f t="shared" si="394"/>
        <v>33830752.566999994</v>
      </c>
      <c r="U871" s="212">
        <f t="shared" si="394"/>
        <v>4548443.8330000006</v>
      </c>
      <c r="V871" s="224">
        <f t="shared" si="394"/>
        <v>2563013</v>
      </c>
      <c r="W871" s="189">
        <f t="shared" si="394"/>
        <v>524680933.5110001</v>
      </c>
      <c r="X871" s="190">
        <f>X868+W870</f>
        <v>8712976403.7180004</v>
      </c>
    </row>
    <row r="872" spans="1:24" x14ac:dyDescent="0.2">
      <c r="A872" s="211" t="s">
        <v>193</v>
      </c>
    </row>
    <row r="873" spans="1:24" x14ac:dyDescent="0.2">
      <c r="A873" s="211" t="s">
        <v>142</v>
      </c>
      <c r="S873" t="s">
        <v>197</v>
      </c>
      <c r="T873" s="219"/>
    </row>
    <row r="874" spans="1:24" x14ac:dyDescent="0.2">
      <c r="A874" s="211" t="s">
        <v>192</v>
      </c>
      <c r="S874" t="s">
        <v>122</v>
      </c>
    </row>
    <row r="876" spans="1:24" ht="27" x14ac:dyDescent="0.35">
      <c r="A876" s="126" t="s">
        <v>185</v>
      </c>
      <c r="B876" s="121"/>
      <c r="C876" s="121"/>
      <c r="D876" s="122"/>
      <c r="E876" s="121"/>
      <c r="F876" s="121"/>
      <c r="G876" s="121"/>
      <c r="H876" s="121"/>
      <c r="I876" s="121"/>
      <c r="J876" s="121"/>
      <c r="K876" s="121"/>
      <c r="L876" s="123"/>
      <c r="M876" s="124"/>
      <c r="N876" s="121"/>
      <c r="O876" s="121"/>
      <c r="P876" s="121"/>
      <c r="Q876" s="121"/>
      <c r="R876" s="121"/>
      <c r="S876" s="121"/>
      <c r="T876" s="121"/>
      <c r="U876" s="121"/>
      <c r="V876" s="121"/>
      <c r="W876" s="125"/>
      <c r="X876" s="121"/>
    </row>
    <row r="877" spans="1:24" x14ac:dyDescent="0.2">
      <c r="A877" s="52"/>
      <c r="B877" s="52"/>
      <c r="C877" s="21"/>
      <c r="D877" s="115"/>
      <c r="E877" s="52"/>
      <c r="F877" s="115"/>
      <c r="G877" s="248" t="s">
        <v>60</v>
      </c>
      <c r="H877" s="115"/>
      <c r="I877" s="115"/>
      <c r="J877" s="115"/>
      <c r="K877" s="52"/>
      <c r="L877" s="115"/>
      <c r="M877" s="52"/>
      <c r="N877" s="52"/>
      <c r="O877" s="52"/>
      <c r="P877" s="52"/>
      <c r="Q877" s="52"/>
      <c r="R877" s="52"/>
      <c r="S877" s="52"/>
      <c r="T877" s="52"/>
      <c r="U877" s="52"/>
      <c r="V877" s="52"/>
      <c r="W877" s="91"/>
      <c r="X877" s="91"/>
    </row>
    <row r="878" spans="1:24" ht="27.75" thickBot="1" x14ac:dyDescent="0.4">
      <c r="A878" s="126" t="s">
        <v>107</v>
      </c>
      <c r="B878" s="121"/>
      <c r="C878" s="121"/>
      <c r="D878" s="121"/>
      <c r="E878" s="121"/>
      <c r="F878" s="122"/>
      <c r="G878" s="121"/>
      <c r="H878" s="121"/>
      <c r="I878" s="121"/>
      <c r="J878" s="121"/>
      <c r="K878" s="121"/>
      <c r="L878" s="121"/>
      <c r="M878" s="121"/>
      <c r="N878" s="121"/>
      <c r="O878" s="121"/>
      <c r="P878" s="121"/>
      <c r="Q878" s="121"/>
      <c r="R878" s="121"/>
      <c r="S878" s="121"/>
      <c r="T878" s="121"/>
      <c r="U878" s="121"/>
      <c r="V878" s="121"/>
      <c r="W878" s="125"/>
      <c r="X878" s="125"/>
    </row>
    <row r="879" spans="1:24" x14ac:dyDescent="0.2">
      <c r="A879" s="174"/>
      <c r="B879" s="173"/>
      <c r="C879" s="173"/>
      <c r="D879" s="173"/>
      <c r="E879" s="173"/>
      <c r="F879" s="173"/>
      <c r="G879" s="173"/>
      <c r="H879" s="173"/>
      <c r="I879" s="173"/>
      <c r="J879" s="173"/>
      <c r="K879" s="173"/>
      <c r="L879" s="173"/>
      <c r="M879" s="173"/>
      <c r="N879" s="173"/>
      <c r="O879" s="173"/>
      <c r="P879" s="173"/>
      <c r="Q879" s="173"/>
      <c r="R879" s="173"/>
      <c r="S879" s="173"/>
      <c r="T879" s="173"/>
      <c r="U879" s="173"/>
      <c r="V879" s="173"/>
      <c r="W879" s="173"/>
      <c r="X879" s="181"/>
    </row>
    <row r="880" spans="1:24" ht="13.5" thickBot="1" x14ac:dyDescent="0.25">
      <c r="A880" s="176"/>
      <c r="B880" s="179" t="s">
        <v>112</v>
      </c>
      <c r="C880" s="177"/>
      <c r="D880" s="177"/>
      <c r="E880" s="177"/>
      <c r="F880" s="177"/>
      <c r="G880" s="177"/>
      <c r="H880" s="177"/>
      <c r="I880" s="177"/>
      <c r="J880" s="177"/>
      <c r="K880" s="177"/>
      <c r="L880" s="179" t="s">
        <v>113</v>
      </c>
      <c r="M880" s="177"/>
      <c r="N880" s="177"/>
      <c r="O880" s="177"/>
      <c r="P880" s="177"/>
      <c r="Q880" s="177"/>
      <c r="R880" s="177"/>
      <c r="S880" s="177"/>
      <c r="T880" s="177"/>
      <c r="U880" s="177"/>
      <c r="V880" s="177"/>
      <c r="W880" s="177"/>
      <c r="X880" s="182"/>
    </row>
    <row r="881" spans="1:26" x14ac:dyDescent="0.2">
      <c r="A881" s="175"/>
      <c r="B881" s="155" t="s">
        <v>11</v>
      </c>
      <c r="C881" s="155" t="s">
        <v>12</v>
      </c>
      <c r="D881" s="155" t="s">
        <v>13</v>
      </c>
      <c r="E881" s="155" t="s">
        <v>14</v>
      </c>
      <c r="F881" s="155" t="s">
        <v>15</v>
      </c>
      <c r="G881" s="193" t="s">
        <v>16</v>
      </c>
      <c r="H881" s="21"/>
      <c r="I881" s="155" t="s">
        <v>17</v>
      </c>
      <c r="J881" s="21"/>
      <c r="K881" s="21"/>
      <c r="L881" s="21"/>
      <c r="M881" s="21"/>
      <c r="N881" s="155" t="s">
        <v>18</v>
      </c>
      <c r="O881" s="155" t="s">
        <v>19</v>
      </c>
      <c r="P881" s="155" t="s">
        <v>20</v>
      </c>
      <c r="Q881" s="155" t="s">
        <v>21</v>
      </c>
      <c r="R881" s="193" t="s">
        <v>16</v>
      </c>
      <c r="S881" s="193" t="s">
        <v>114</v>
      </c>
      <c r="T881" s="209" t="s">
        <v>127</v>
      </c>
      <c r="U881" s="207" t="s">
        <v>138</v>
      </c>
      <c r="V881" s="221" t="s">
        <v>136</v>
      </c>
      <c r="W881" s="155" t="s">
        <v>7</v>
      </c>
      <c r="X881" s="194" t="s">
        <v>70</v>
      </c>
    </row>
    <row r="882" spans="1:26" ht="13.5" thickBot="1" x14ac:dyDescent="0.25">
      <c r="A882" s="176"/>
      <c r="B882" s="179" t="s">
        <v>23</v>
      </c>
      <c r="C882" s="179" t="s">
        <v>24</v>
      </c>
      <c r="D882" s="179" t="s">
        <v>25</v>
      </c>
      <c r="E882" s="179" t="s">
        <v>26</v>
      </c>
      <c r="F882" s="179" t="s">
        <v>27</v>
      </c>
      <c r="G882" s="195" t="s">
        <v>28</v>
      </c>
      <c r="H882" s="179"/>
      <c r="I882" s="179" t="s">
        <v>29</v>
      </c>
      <c r="J882" s="179" t="s">
        <v>30</v>
      </c>
      <c r="K882" s="179" t="s">
        <v>31</v>
      </c>
      <c r="L882" s="179" t="s">
        <v>32</v>
      </c>
      <c r="M882" s="179" t="s">
        <v>33</v>
      </c>
      <c r="N882" s="179" t="s">
        <v>34</v>
      </c>
      <c r="O882" s="179" t="s">
        <v>35</v>
      </c>
      <c r="P882" s="179" t="s">
        <v>36</v>
      </c>
      <c r="Q882" s="179" t="s">
        <v>37</v>
      </c>
      <c r="R882" s="195" t="s">
        <v>28</v>
      </c>
      <c r="S882" s="195" t="s">
        <v>129</v>
      </c>
      <c r="T882" s="210" t="s">
        <v>130</v>
      </c>
      <c r="U882" s="179" t="s">
        <v>139</v>
      </c>
      <c r="V882" s="222" t="s">
        <v>143</v>
      </c>
      <c r="W882" s="179" t="s">
        <v>181</v>
      </c>
      <c r="X882" s="196" t="s">
        <v>71</v>
      </c>
    </row>
    <row r="883" spans="1:26" x14ac:dyDescent="0.2">
      <c r="A883" s="175"/>
      <c r="B883" s="117"/>
      <c r="C883" s="117"/>
      <c r="D883" s="117"/>
      <c r="E883" s="117"/>
      <c r="F883" s="117"/>
      <c r="G883" s="178"/>
      <c r="H883" s="52"/>
      <c r="I883" s="117"/>
      <c r="J883" s="117"/>
      <c r="K883" s="117"/>
      <c r="L883" s="117"/>
      <c r="M883" s="117"/>
      <c r="N883" s="117"/>
      <c r="O883" s="117"/>
      <c r="P883" s="117"/>
      <c r="Q883" s="117"/>
      <c r="R883" s="178"/>
      <c r="S883" s="208"/>
      <c r="T883" s="185"/>
      <c r="U883" s="185"/>
      <c r="V883" s="185"/>
      <c r="W883" s="185"/>
      <c r="X883" s="183"/>
    </row>
    <row r="884" spans="1:26" x14ac:dyDescent="0.2">
      <c r="A884" s="191" t="s">
        <v>41</v>
      </c>
      <c r="B884" s="91">
        <v>0</v>
      </c>
      <c r="C884" s="91">
        <v>1352327</v>
      </c>
      <c r="D884" s="91">
        <v>0</v>
      </c>
      <c r="E884" s="91">
        <v>6331865</v>
      </c>
      <c r="F884" s="91">
        <v>2694667</v>
      </c>
      <c r="G884" s="180">
        <f>SUM(B884:F884)</f>
        <v>10378859</v>
      </c>
      <c r="H884" s="91"/>
      <c r="I884" s="91">
        <v>1098000</v>
      </c>
      <c r="J884" s="91">
        <v>0</v>
      </c>
      <c r="K884" s="91">
        <v>1114414</v>
      </c>
      <c r="L884" s="91">
        <v>1118077</v>
      </c>
      <c r="M884" s="91">
        <v>3216664</v>
      </c>
      <c r="N884" s="91">
        <v>683952</v>
      </c>
      <c r="O884" s="91">
        <v>0</v>
      </c>
      <c r="P884" s="91">
        <v>2261800</v>
      </c>
      <c r="Q884" s="91">
        <v>0</v>
      </c>
      <c r="R884" s="180">
        <f>SUM(I884:Q884)</f>
        <v>9492907</v>
      </c>
      <c r="S884" s="180">
        <v>12334840</v>
      </c>
      <c r="T884" s="91">
        <v>783468</v>
      </c>
      <c r="U884" s="86">
        <f>S884-11742000</f>
        <v>592840</v>
      </c>
      <c r="V884" s="186">
        <v>0</v>
      </c>
      <c r="W884" s="186">
        <f>R884+G884+S884+T884</f>
        <v>32990074</v>
      </c>
      <c r="X884" s="46"/>
    </row>
    <row r="885" spans="1:26" x14ac:dyDescent="0.2">
      <c r="A885" s="191" t="s">
        <v>42</v>
      </c>
      <c r="B885" s="91">
        <f t="shared" ref="B885:G885" si="395">B871+B884-B837</f>
        <v>340800</v>
      </c>
      <c r="C885" s="91">
        <f t="shared" si="395"/>
        <v>10881515.957999997</v>
      </c>
      <c r="D885" s="91">
        <f t="shared" si="395"/>
        <v>46710086.640999988</v>
      </c>
      <c r="E885" s="91">
        <f t="shared" si="395"/>
        <v>64200282.281000048</v>
      </c>
      <c r="F885" s="91">
        <f t="shared" si="395"/>
        <v>27206029.23100001</v>
      </c>
      <c r="G885" s="180">
        <f t="shared" si="395"/>
        <v>149338714.11100003</v>
      </c>
      <c r="H885" s="91"/>
      <c r="I885" s="91">
        <f t="shared" ref="I885:W885" si="396">I871+I884-I837</f>
        <v>55974000</v>
      </c>
      <c r="J885" s="91">
        <f t="shared" si="396"/>
        <v>36289289</v>
      </c>
      <c r="K885" s="91">
        <f t="shared" si="396"/>
        <v>7910487</v>
      </c>
      <c r="L885" s="91">
        <f t="shared" si="396"/>
        <v>6802109</v>
      </c>
      <c r="M885" s="91">
        <f t="shared" si="396"/>
        <v>35739958</v>
      </c>
      <c r="N885" s="91">
        <f t="shared" si="396"/>
        <v>8588965</v>
      </c>
      <c r="O885" s="91">
        <f t="shared" si="396"/>
        <v>0</v>
      </c>
      <c r="P885" s="91">
        <f t="shared" si="396"/>
        <v>31359408</v>
      </c>
      <c r="Q885" s="91">
        <f t="shared" si="396"/>
        <v>6959796</v>
      </c>
      <c r="R885" s="180">
        <f t="shared" si="396"/>
        <v>189624012</v>
      </c>
      <c r="S885" s="180">
        <f t="shared" si="396"/>
        <v>145606214.833</v>
      </c>
      <c r="T885" s="215">
        <f t="shared" si="396"/>
        <v>34614220.566999994</v>
      </c>
      <c r="U885" s="86">
        <f t="shared" si="396"/>
        <v>4808214.8330000006</v>
      </c>
      <c r="V885" s="86">
        <f t="shared" si="396"/>
        <v>2563013</v>
      </c>
      <c r="W885" s="186">
        <f t="shared" si="396"/>
        <v>519183161.51100016</v>
      </c>
      <c r="X885" s="46">
        <f>X871+W884</f>
        <v>8745966477.7180004</v>
      </c>
    </row>
    <row r="886" spans="1:26" x14ac:dyDescent="0.2">
      <c r="A886" s="191"/>
      <c r="B886" s="52"/>
      <c r="C886" s="52"/>
      <c r="D886" s="52"/>
      <c r="E886" s="52"/>
      <c r="F886" s="52"/>
      <c r="G886" s="180"/>
      <c r="H886" s="91"/>
      <c r="I886" s="52"/>
      <c r="J886" s="52"/>
      <c r="K886" s="52"/>
      <c r="L886" s="52"/>
      <c r="M886" s="52"/>
      <c r="N886" s="52"/>
      <c r="O886" s="52"/>
      <c r="P886" s="52"/>
      <c r="Q886" s="52"/>
      <c r="R886" s="180"/>
      <c r="S886" s="178"/>
      <c r="T886" s="218"/>
      <c r="U886" s="217"/>
      <c r="V886" s="185"/>
      <c r="W886" s="186"/>
      <c r="X886" s="46"/>
    </row>
    <row r="887" spans="1:26" x14ac:dyDescent="0.2">
      <c r="A887" s="191" t="s">
        <v>43</v>
      </c>
      <c r="B887" s="91">
        <v>4800</v>
      </c>
      <c r="C887" s="91">
        <v>898779</v>
      </c>
      <c r="D887" s="91">
        <v>0</v>
      </c>
      <c r="E887" s="91">
        <v>2305292</v>
      </c>
      <c r="F887" s="91">
        <v>2404260</v>
      </c>
      <c r="G887" s="180">
        <f>SUM(B887:F887)</f>
        <v>5613131</v>
      </c>
      <c r="H887" s="91"/>
      <c r="I887" s="91">
        <v>4020000</v>
      </c>
      <c r="J887" s="91">
        <v>2095572</v>
      </c>
      <c r="K887" s="91">
        <v>107328</v>
      </c>
      <c r="L887" s="91">
        <v>95548</v>
      </c>
      <c r="M887" s="91">
        <v>580257</v>
      </c>
      <c r="N887" s="91">
        <v>680387</v>
      </c>
      <c r="O887" s="91">
        <v>0</v>
      </c>
      <c r="P887" s="91">
        <v>2996982</v>
      </c>
      <c r="Q887" s="91">
        <v>0</v>
      </c>
      <c r="R887" s="180">
        <f>SUM(I887:Q887)</f>
        <v>10576074</v>
      </c>
      <c r="S887" s="180">
        <v>8113182</v>
      </c>
      <c r="T887" s="91">
        <v>405193.90700000001</v>
      </c>
      <c r="U887" s="86">
        <f>S887-7625000</f>
        <v>488182</v>
      </c>
      <c r="V887" s="86">
        <v>2631010</v>
      </c>
      <c r="W887" s="186">
        <f>R887+G887+S887+T887</f>
        <v>24707580.907000002</v>
      </c>
      <c r="X887" s="46"/>
    </row>
    <row r="888" spans="1:26" x14ac:dyDescent="0.2">
      <c r="A888" s="191" t="s">
        <v>42</v>
      </c>
      <c r="B888" s="91">
        <f t="shared" ref="B888:G888" si="397">B885+B887-B840</f>
        <v>345600</v>
      </c>
      <c r="C888" s="91">
        <f t="shared" si="397"/>
        <v>11107505.957999997</v>
      </c>
      <c r="D888" s="91">
        <f t="shared" si="397"/>
        <v>42939573.640999988</v>
      </c>
      <c r="E888" s="91">
        <f t="shared" si="397"/>
        <v>60817403.281000048</v>
      </c>
      <c r="F888" s="91">
        <f t="shared" si="397"/>
        <v>27102482.23100001</v>
      </c>
      <c r="G888" s="180">
        <f t="shared" si="397"/>
        <v>142312565.11100003</v>
      </c>
      <c r="H888" s="91"/>
      <c r="I888" s="91">
        <f t="shared" ref="I888:W888" si="398">I885+I887-I840</f>
        <v>55794000</v>
      </c>
      <c r="J888" s="91">
        <f t="shared" si="398"/>
        <v>35290709</v>
      </c>
      <c r="K888" s="91">
        <f t="shared" si="398"/>
        <v>7804578</v>
      </c>
      <c r="L888" s="91">
        <f t="shared" si="398"/>
        <v>6624935</v>
      </c>
      <c r="M888" s="91">
        <f t="shared" si="398"/>
        <v>33002987</v>
      </c>
      <c r="N888" s="91">
        <f t="shared" si="398"/>
        <v>8519666</v>
      </c>
      <c r="O888" s="91">
        <f t="shared" si="398"/>
        <v>0</v>
      </c>
      <c r="P888" s="91">
        <f t="shared" si="398"/>
        <v>32197165</v>
      </c>
      <c r="Q888" s="91">
        <f t="shared" si="398"/>
        <v>6959796</v>
      </c>
      <c r="R888" s="180">
        <f t="shared" si="398"/>
        <v>186193836</v>
      </c>
      <c r="S888" s="180">
        <f t="shared" si="398"/>
        <v>144321798.833</v>
      </c>
      <c r="T888" s="215">
        <f t="shared" si="398"/>
        <v>33756955.473999992</v>
      </c>
      <c r="U888" s="86">
        <f t="shared" si="398"/>
        <v>5075798.8330000006</v>
      </c>
      <c r="V888" s="86">
        <f t="shared" si="398"/>
        <v>5194023</v>
      </c>
      <c r="W888" s="186">
        <f t="shared" si="398"/>
        <v>506585155.4180001</v>
      </c>
      <c r="X888" s="46">
        <f>X885+W887</f>
        <v>8770674058.625</v>
      </c>
    </row>
    <row r="889" spans="1:26" x14ac:dyDescent="0.2">
      <c r="A889" s="191"/>
      <c r="B889" s="91"/>
      <c r="C889" s="91"/>
      <c r="D889" s="91"/>
      <c r="E889" s="91"/>
      <c r="F889" s="91"/>
      <c r="G889" s="180"/>
      <c r="H889" s="91"/>
      <c r="I889" s="91"/>
      <c r="J889" s="91"/>
      <c r="K889" s="91"/>
      <c r="L889" s="91"/>
      <c r="M889" s="91"/>
      <c r="N889" s="91"/>
      <c r="O889" s="91"/>
      <c r="P889" s="91"/>
      <c r="Q889" s="91"/>
      <c r="R889" s="180"/>
      <c r="S889" s="178"/>
      <c r="T889" s="218"/>
      <c r="U889" s="217"/>
      <c r="V889" s="185"/>
      <c r="W889" s="186"/>
      <c r="X889" s="46"/>
    </row>
    <row r="890" spans="1:26" x14ac:dyDescent="0.2">
      <c r="A890" s="191" t="s">
        <v>44</v>
      </c>
      <c r="B890" s="91">
        <v>14400</v>
      </c>
      <c r="C890" s="91">
        <v>1366325</v>
      </c>
      <c r="D890" s="91">
        <v>1723734</v>
      </c>
      <c r="E890" s="91">
        <v>5164014</v>
      </c>
      <c r="F890" s="91">
        <v>1869985</v>
      </c>
      <c r="G890" s="180">
        <f>SUM(B890:F890)</f>
        <v>10138458</v>
      </c>
      <c r="H890" s="91"/>
      <c r="I890" s="91">
        <v>5436000</v>
      </c>
      <c r="J890" s="91">
        <v>2615720</v>
      </c>
      <c r="K890" s="91">
        <v>1126764</v>
      </c>
      <c r="L890" s="91">
        <v>1210629</v>
      </c>
      <c r="M890" s="91">
        <v>64898</v>
      </c>
      <c r="N890" s="91">
        <v>796543</v>
      </c>
      <c r="O890" s="91">
        <v>0</v>
      </c>
      <c r="P890" s="91">
        <v>1299881</v>
      </c>
      <c r="Q890" s="91">
        <v>146665</v>
      </c>
      <c r="R890" s="180">
        <f>SUM(I890:Q890)</f>
        <v>12697100</v>
      </c>
      <c r="S890" s="180">
        <v>10296772</v>
      </c>
      <c r="T890" s="91">
        <v>4874966.6770000001</v>
      </c>
      <c r="U890" s="86">
        <f>S890-9824000</f>
        <v>472772</v>
      </c>
      <c r="V890" s="86">
        <v>0</v>
      </c>
      <c r="W890" s="186">
        <f>R890+G890+S890+T890</f>
        <v>38007296.677000001</v>
      </c>
      <c r="X890" s="46"/>
    </row>
    <row r="891" spans="1:26" x14ac:dyDescent="0.2">
      <c r="A891" s="191" t="s">
        <v>42</v>
      </c>
      <c r="B891" s="91">
        <f t="shared" ref="B891:G891" si="399">B888+B890-B843</f>
        <v>360000</v>
      </c>
      <c r="C891" s="91">
        <f t="shared" si="399"/>
        <v>12433899.884999996</v>
      </c>
      <c r="D891" s="91">
        <f t="shared" si="399"/>
        <v>40994601.485999987</v>
      </c>
      <c r="E891" s="91">
        <f t="shared" si="399"/>
        <v>60058353.911000051</v>
      </c>
      <c r="F891" s="91">
        <f t="shared" si="399"/>
        <v>26630465.178000011</v>
      </c>
      <c r="G891" s="180">
        <f t="shared" si="399"/>
        <v>140477320.46000004</v>
      </c>
      <c r="H891" s="91"/>
      <c r="I891" s="91">
        <f t="shared" ref="I891:W891" si="400">I888+I890-I843</f>
        <v>58158000</v>
      </c>
      <c r="J891" s="91">
        <f t="shared" si="400"/>
        <v>35578240</v>
      </c>
      <c r="K891" s="91">
        <f t="shared" si="400"/>
        <v>8924577</v>
      </c>
      <c r="L891" s="91">
        <f t="shared" si="400"/>
        <v>7813055</v>
      </c>
      <c r="M891" s="91">
        <f t="shared" si="400"/>
        <v>31296648</v>
      </c>
      <c r="N891" s="91">
        <f t="shared" si="400"/>
        <v>8657900</v>
      </c>
      <c r="O891" s="91">
        <f t="shared" si="400"/>
        <v>0</v>
      </c>
      <c r="P891" s="91">
        <f t="shared" si="400"/>
        <v>30127450</v>
      </c>
      <c r="Q891" s="91">
        <f t="shared" si="400"/>
        <v>7106461</v>
      </c>
      <c r="R891" s="180">
        <f t="shared" si="400"/>
        <v>187662331</v>
      </c>
      <c r="S891" s="180">
        <f t="shared" si="400"/>
        <v>145562554.833</v>
      </c>
      <c r="T891" s="215">
        <f t="shared" si="400"/>
        <v>35894723.150999993</v>
      </c>
      <c r="U891" s="86">
        <f t="shared" si="400"/>
        <v>5297554.8330000006</v>
      </c>
      <c r="V891" s="86">
        <f t="shared" si="400"/>
        <v>5194023</v>
      </c>
      <c r="W891" s="186">
        <f t="shared" si="400"/>
        <v>509596929.44400012</v>
      </c>
      <c r="X891" s="46">
        <f>X888+W890</f>
        <v>8808681355.302</v>
      </c>
    </row>
    <row r="892" spans="1:26" x14ac:dyDescent="0.2">
      <c r="A892" s="191"/>
      <c r="B892" s="52"/>
      <c r="C892" s="52"/>
      <c r="D892" s="52"/>
      <c r="E892" s="52"/>
      <c r="F892" s="52"/>
      <c r="G892" s="180"/>
      <c r="H892" s="91"/>
      <c r="I892" s="52"/>
      <c r="J892" s="52"/>
      <c r="K892" s="52"/>
      <c r="L892" s="52"/>
      <c r="M892" s="52"/>
      <c r="N892" s="52"/>
      <c r="O892" s="52"/>
      <c r="P892" s="52"/>
      <c r="Q892" s="52"/>
      <c r="R892" s="180"/>
      <c r="S892" s="178"/>
      <c r="T892" s="218"/>
      <c r="U892" s="217"/>
      <c r="V892" s="185"/>
      <c r="W892" s="186"/>
      <c r="X892" s="46"/>
    </row>
    <row r="893" spans="1:26" x14ac:dyDescent="0.2">
      <c r="A893" s="191" t="s">
        <v>45</v>
      </c>
      <c r="B893" s="91">
        <v>0</v>
      </c>
      <c r="C893" s="91">
        <v>2375190</v>
      </c>
      <c r="D893" s="91">
        <v>2471167</v>
      </c>
      <c r="E893" s="91">
        <v>4474928</v>
      </c>
      <c r="F893" s="91">
        <v>2439759</v>
      </c>
      <c r="G893" s="180">
        <f>SUM(B893:F893)</f>
        <v>11761044</v>
      </c>
      <c r="H893" s="91"/>
      <c r="I893" s="91">
        <v>5400000</v>
      </c>
      <c r="J893" s="91">
        <v>3911004</v>
      </c>
      <c r="K893" s="91">
        <v>1610755</v>
      </c>
      <c r="L893" s="91">
        <v>1570366</v>
      </c>
      <c r="M893" s="91">
        <v>3287956</v>
      </c>
      <c r="N893" s="91">
        <v>683720</v>
      </c>
      <c r="O893" s="91">
        <v>0</v>
      </c>
      <c r="P893" s="91">
        <v>88154</v>
      </c>
      <c r="Q893" s="91">
        <v>1137400</v>
      </c>
      <c r="R893" s="180">
        <f>SUM(I893:Q893)</f>
        <v>17689355</v>
      </c>
      <c r="S893" s="180">
        <v>11335025</v>
      </c>
      <c r="T893" s="91">
        <v>1293844.557</v>
      </c>
      <c r="U893" s="86">
        <f>S893-10814000</f>
        <v>521025</v>
      </c>
      <c r="V893" s="86">
        <v>0</v>
      </c>
      <c r="W893" s="186">
        <f>R893+G893+S893+T893</f>
        <v>42079268.556999996</v>
      </c>
      <c r="X893" s="46"/>
    </row>
    <row r="894" spans="1:26" x14ac:dyDescent="0.2">
      <c r="A894" s="191" t="s">
        <v>42</v>
      </c>
      <c r="B894" s="91">
        <f t="shared" ref="B894:G894" si="401">B891+B893-B846</f>
        <v>360000</v>
      </c>
      <c r="C894" s="91">
        <f t="shared" si="401"/>
        <v>14809089.884999996</v>
      </c>
      <c r="D894" s="91">
        <f t="shared" si="401"/>
        <v>37477244.485999987</v>
      </c>
      <c r="E894" s="91">
        <f t="shared" si="401"/>
        <v>60095166.911000051</v>
      </c>
      <c r="F894" s="91">
        <f t="shared" si="401"/>
        <v>26504495.346000012</v>
      </c>
      <c r="G894" s="180">
        <f t="shared" si="401"/>
        <v>139245996.62800005</v>
      </c>
      <c r="H894" s="91"/>
      <c r="I894" s="91">
        <f t="shared" ref="I894:W894" si="402">I891+I893-I846</f>
        <v>58194000</v>
      </c>
      <c r="J894" s="91">
        <f t="shared" si="402"/>
        <v>35354420</v>
      </c>
      <c r="K894" s="91">
        <f t="shared" si="402"/>
        <v>10535332</v>
      </c>
      <c r="L894" s="91">
        <f t="shared" si="402"/>
        <v>9383421</v>
      </c>
      <c r="M894" s="91">
        <f t="shared" si="402"/>
        <v>31045271</v>
      </c>
      <c r="N894" s="91">
        <f t="shared" si="402"/>
        <v>8759496</v>
      </c>
      <c r="O894" s="91">
        <f t="shared" si="402"/>
        <v>0</v>
      </c>
      <c r="P894" s="91">
        <f t="shared" si="402"/>
        <v>26844124</v>
      </c>
      <c r="Q894" s="91">
        <f t="shared" si="402"/>
        <v>8243861</v>
      </c>
      <c r="R894" s="180">
        <f t="shared" si="402"/>
        <v>188359925</v>
      </c>
      <c r="S894" s="180">
        <f t="shared" si="402"/>
        <v>148625933.833</v>
      </c>
      <c r="T894" s="215">
        <f t="shared" si="402"/>
        <v>37188567.707999989</v>
      </c>
      <c r="U894" s="86">
        <f t="shared" si="402"/>
        <v>5599933.8330000006</v>
      </c>
      <c r="V894" s="86">
        <f t="shared" si="402"/>
        <v>5194023</v>
      </c>
      <c r="W894" s="186">
        <f t="shared" si="402"/>
        <v>513420423.16900015</v>
      </c>
      <c r="X894" s="46">
        <f>X891+W893</f>
        <v>8850760623.8589993</v>
      </c>
    </row>
    <row r="895" spans="1:26" x14ac:dyDescent="0.2">
      <c r="A895" s="191"/>
      <c r="B895" s="52"/>
      <c r="C895" s="52"/>
      <c r="D895" s="52"/>
      <c r="E895" s="52"/>
      <c r="F895" s="52"/>
      <c r="G895" s="180"/>
      <c r="H895" s="91"/>
      <c r="I895" s="52"/>
      <c r="J895" s="52"/>
      <c r="K895" s="52"/>
      <c r="L895" s="52"/>
      <c r="M895" s="52"/>
      <c r="N895" s="52"/>
      <c r="O895" s="52"/>
      <c r="P895" s="52"/>
      <c r="Q895" s="52"/>
      <c r="R895" s="180"/>
      <c r="S895" s="180"/>
      <c r="T895" s="44"/>
      <c r="U895" s="86"/>
      <c r="V895" s="186"/>
      <c r="W895" s="186"/>
      <c r="X895" s="46"/>
    </row>
    <row r="896" spans="1:26" x14ac:dyDescent="0.2">
      <c r="A896" s="191" t="s">
        <v>46</v>
      </c>
      <c r="B896" s="91">
        <v>134400</v>
      </c>
      <c r="C896" s="91">
        <v>0</v>
      </c>
      <c r="D896" s="91">
        <v>5383208</v>
      </c>
      <c r="E896" s="91">
        <v>5098322</v>
      </c>
      <c r="F896" s="91">
        <v>3047394</v>
      </c>
      <c r="G896" s="180">
        <f>SUM(B896:F896)</f>
        <v>13663324</v>
      </c>
      <c r="H896" s="91"/>
      <c r="I896" s="91">
        <v>5352000</v>
      </c>
      <c r="J896" s="91">
        <v>4101400</v>
      </c>
      <c r="K896" s="91">
        <v>0</v>
      </c>
      <c r="L896" s="91">
        <v>0</v>
      </c>
      <c r="M896" s="91">
        <v>3499023</v>
      </c>
      <c r="N896" s="91">
        <v>775884</v>
      </c>
      <c r="O896" s="91">
        <v>0</v>
      </c>
      <c r="P896" s="91">
        <v>0</v>
      </c>
      <c r="Q896" s="91">
        <v>0</v>
      </c>
      <c r="R896" s="180">
        <f>SUM(I896:Q896)</f>
        <v>13728307</v>
      </c>
      <c r="S896" s="180">
        <v>11933091</v>
      </c>
      <c r="T896" s="91">
        <v>2619135.4109999998</v>
      </c>
      <c r="U896" s="86">
        <f>S896-11526000</f>
        <v>407091</v>
      </c>
      <c r="V896" s="86">
        <v>0</v>
      </c>
      <c r="W896" s="186">
        <f>R896+G896+S896+T896</f>
        <v>41943857.410999998</v>
      </c>
      <c r="X896" s="46"/>
      <c r="Z896" t="s">
        <v>187</v>
      </c>
    </row>
    <row r="897" spans="1:24" x14ac:dyDescent="0.2">
      <c r="A897" s="191" t="s">
        <v>42</v>
      </c>
      <c r="B897" s="91">
        <f t="shared" ref="B897:G897" si="403">B894+B896-B849</f>
        <v>494400</v>
      </c>
      <c r="C897" s="91">
        <f t="shared" si="403"/>
        <v>14809089.884999996</v>
      </c>
      <c r="D897" s="91">
        <f t="shared" si="403"/>
        <v>36969956.485999987</v>
      </c>
      <c r="E897" s="91">
        <f t="shared" si="403"/>
        <v>59203914.911000051</v>
      </c>
      <c r="F897" s="91">
        <f t="shared" si="403"/>
        <v>27102538.346000012</v>
      </c>
      <c r="G897" s="180">
        <f t="shared" si="403"/>
        <v>138579899.62800005</v>
      </c>
      <c r="H897" s="91"/>
      <c r="I897" s="91">
        <f t="shared" ref="I897:W897" si="404">I894+I896-I849</f>
        <v>58422000</v>
      </c>
      <c r="J897" s="91">
        <f t="shared" si="404"/>
        <v>35599868</v>
      </c>
      <c r="K897" s="91">
        <f t="shared" si="404"/>
        <v>10535332</v>
      </c>
      <c r="L897" s="91">
        <f t="shared" si="404"/>
        <v>9383421</v>
      </c>
      <c r="M897" s="91">
        <f t="shared" si="404"/>
        <v>31065376</v>
      </c>
      <c r="N897" s="91">
        <f t="shared" si="404"/>
        <v>8851422</v>
      </c>
      <c r="O897" s="91">
        <f t="shared" si="404"/>
        <v>0</v>
      </c>
      <c r="P897" s="91">
        <f t="shared" si="404"/>
        <v>24096414</v>
      </c>
      <c r="Q897" s="91">
        <f t="shared" si="404"/>
        <v>8243861</v>
      </c>
      <c r="R897" s="180">
        <f t="shared" si="404"/>
        <v>186197694</v>
      </c>
      <c r="S897" s="180">
        <f t="shared" si="404"/>
        <v>155089367.833</v>
      </c>
      <c r="T897" s="215">
        <f t="shared" si="404"/>
        <v>38607853.646999985</v>
      </c>
      <c r="U897" s="86">
        <f t="shared" si="404"/>
        <v>5844367.8330000006</v>
      </c>
      <c r="V897" s="86">
        <f t="shared" si="404"/>
        <v>5194023</v>
      </c>
      <c r="W897" s="186">
        <f t="shared" si="404"/>
        <v>518474815.10800016</v>
      </c>
      <c r="X897" s="46">
        <f>X894+W896</f>
        <v>8892704481.2699986</v>
      </c>
    </row>
    <row r="898" spans="1:24" x14ac:dyDescent="0.2">
      <c r="A898" s="191"/>
      <c r="B898" s="52"/>
      <c r="C898" s="52"/>
      <c r="D898" s="52"/>
      <c r="E898" s="52"/>
      <c r="F898" s="52"/>
      <c r="G898" s="180"/>
      <c r="H898" s="91"/>
      <c r="I898" s="52"/>
      <c r="J898" s="52"/>
      <c r="K898" s="52"/>
      <c r="L898" s="52"/>
      <c r="M898" s="52"/>
      <c r="N898" s="52"/>
      <c r="O898" s="52"/>
      <c r="P898" s="52"/>
      <c r="Q898" s="52"/>
      <c r="R898" s="180"/>
      <c r="S898" s="180"/>
      <c r="T898" s="44"/>
      <c r="U898" s="86"/>
      <c r="V898" s="186"/>
      <c r="W898" s="186"/>
      <c r="X898" s="46"/>
    </row>
    <row r="899" spans="1:24" x14ac:dyDescent="0.2">
      <c r="A899" s="191" t="s">
        <v>47</v>
      </c>
      <c r="B899" s="91">
        <v>86400</v>
      </c>
      <c r="C899" s="91">
        <v>0</v>
      </c>
      <c r="D899" s="91">
        <v>4733024</v>
      </c>
      <c r="E899" s="91">
        <v>6570239</v>
      </c>
      <c r="F899" s="91">
        <v>3042972</v>
      </c>
      <c r="G899" s="180">
        <f>SUM(B899:F899)</f>
        <v>14432635</v>
      </c>
      <c r="H899" s="91"/>
      <c r="I899" s="91">
        <v>5436000</v>
      </c>
      <c r="J899" s="91">
        <v>3861502</v>
      </c>
      <c r="K899" s="91">
        <v>0</v>
      </c>
      <c r="L899" s="91">
        <v>0</v>
      </c>
      <c r="M899" s="91">
        <v>2854279</v>
      </c>
      <c r="N899" s="91">
        <v>764371</v>
      </c>
      <c r="O899" s="91">
        <v>0</v>
      </c>
      <c r="P899" s="91">
        <v>0</v>
      </c>
      <c r="Q899" s="91">
        <v>0</v>
      </c>
      <c r="R899" s="180">
        <f>SUM(I899:Q899)</f>
        <v>12916152</v>
      </c>
      <c r="S899" s="180">
        <v>10308032</v>
      </c>
      <c r="T899" s="91">
        <v>1156489</v>
      </c>
      <c r="U899" s="86">
        <f>S899-9976000</f>
        <v>332032</v>
      </c>
      <c r="V899" s="86">
        <v>0</v>
      </c>
      <c r="W899" s="186">
        <f>R899+G899+S899+T899</f>
        <v>38813308</v>
      </c>
      <c r="X899" s="247" t="s">
        <v>60</v>
      </c>
    </row>
    <row r="900" spans="1:24" x14ac:dyDescent="0.2">
      <c r="A900" s="191" t="s">
        <v>42</v>
      </c>
      <c r="B900" s="91">
        <f t="shared" ref="B900:G900" si="405">B897+B899-B852</f>
        <v>259200</v>
      </c>
      <c r="C900" s="91">
        <f t="shared" si="405"/>
        <v>14809089.884999996</v>
      </c>
      <c r="D900" s="91">
        <f t="shared" si="405"/>
        <v>36007998.485999987</v>
      </c>
      <c r="E900" s="91">
        <f t="shared" si="405"/>
        <v>60184311.911000051</v>
      </c>
      <c r="F900" s="91">
        <f t="shared" si="405"/>
        <v>27684600.346000012</v>
      </c>
      <c r="G900" s="180">
        <f t="shared" si="405"/>
        <v>138945200.62800005</v>
      </c>
      <c r="H900" s="91"/>
      <c r="I900" s="91">
        <f t="shared" ref="I900:W900" si="406">I897+I899-I852</f>
        <v>58242000</v>
      </c>
      <c r="J900" s="91">
        <f t="shared" si="406"/>
        <v>36040447</v>
      </c>
      <c r="K900" s="91">
        <f t="shared" si="406"/>
        <v>10185523</v>
      </c>
      <c r="L900" s="91">
        <f t="shared" si="406"/>
        <v>9383421</v>
      </c>
      <c r="M900" s="91">
        <f t="shared" si="406"/>
        <v>31073028</v>
      </c>
      <c r="N900" s="91">
        <f t="shared" si="406"/>
        <v>8862395</v>
      </c>
      <c r="O900" s="91">
        <f t="shared" si="406"/>
        <v>0</v>
      </c>
      <c r="P900" s="91">
        <f t="shared" si="406"/>
        <v>21695417</v>
      </c>
      <c r="Q900" s="91">
        <f t="shared" si="406"/>
        <v>8243861</v>
      </c>
      <c r="R900" s="180">
        <f t="shared" si="406"/>
        <v>183726092</v>
      </c>
      <c r="S900" s="180">
        <f t="shared" si="406"/>
        <v>152335102.833</v>
      </c>
      <c r="T900" s="215">
        <f t="shared" si="406"/>
        <v>38233579.646999985</v>
      </c>
      <c r="U900" s="86">
        <f t="shared" si="406"/>
        <v>5867102.8330000006</v>
      </c>
      <c r="V900" s="86">
        <f t="shared" si="406"/>
        <v>5194023</v>
      </c>
      <c r="W900" s="186">
        <f t="shared" si="406"/>
        <v>513239975.10800016</v>
      </c>
      <c r="X900" s="46">
        <f>X897+W899</f>
        <v>8931517789.2699986</v>
      </c>
    </row>
    <row r="901" spans="1:24" x14ac:dyDescent="0.2">
      <c r="A901" s="191"/>
      <c r="B901" s="52"/>
      <c r="C901" s="52"/>
      <c r="D901" s="52"/>
      <c r="E901" s="52"/>
      <c r="F901" s="52"/>
      <c r="G901" s="180"/>
      <c r="H901" s="91"/>
      <c r="I901" s="52"/>
      <c r="J901" s="52"/>
      <c r="K901" s="52"/>
      <c r="L901" s="52"/>
      <c r="M901" s="52"/>
      <c r="N901" s="52"/>
      <c r="O901" s="52"/>
      <c r="P901" s="52"/>
      <c r="Q901" s="52"/>
      <c r="R901" s="180"/>
      <c r="S901" s="180" t="s">
        <v>105</v>
      </c>
      <c r="T901" s="44"/>
      <c r="U901" s="86"/>
      <c r="V901" s="186"/>
      <c r="W901" s="186"/>
      <c r="X901" s="46"/>
    </row>
    <row r="902" spans="1:24" x14ac:dyDescent="0.2">
      <c r="A902" s="191" t="s">
        <v>48</v>
      </c>
      <c r="B902" s="91">
        <v>0</v>
      </c>
      <c r="C902" s="91">
        <v>0</v>
      </c>
      <c r="D902" s="91">
        <v>4125930</v>
      </c>
      <c r="E902" s="91">
        <v>4438313</v>
      </c>
      <c r="F902" s="91">
        <v>3236177</v>
      </c>
      <c r="G902" s="180">
        <f>SUM(B902:F902)</f>
        <v>11800420</v>
      </c>
      <c r="H902" s="91"/>
      <c r="I902" s="91">
        <v>6012000</v>
      </c>
      <c r="J902" s="91">
        <v>4190026</v>
      </c>
      <c r="K902" s="91">
        <v>0</v>
      </c>
      <c r="L902" s="91">
        <v>0</v>
      </c>
      <c r="M902" s="91">
        <v>2878822</v>
      </c>
      <c r="N902" s="91">
        <v>782454</v>
      </c>
      <c r="O902" s="91">
        <v>0</v>
      </c>
      <c r="P902" s="91">
        <v>394512</v>
      </c>
      <c r="Q902" s="91">
        <v>0</v>
      </c>
      <c r="R902" s="180">
        <f>SUM(I902:Q902)</f>
        <v>14257814</v>
      </c>
      <c r="S902" s="180">
        <v>16516371</v>
      </c>
      <c r="T902" s="91">
        <v>5132054.1940000001</v>
      </c>
      <c r="U902" s="86">
        <f>S902-15970000</f>
        <v>546371</v>
      </c>
      <c r="V902" s="86">
        <v>0</v>
      </c>
      <c r="W902" s="186">
        <f>R902+G902+S902+T902</f>
        <v>47706659.193999998</v>
      </c>
      <c r="X902" s="46"/>
    </row>
    <row r="903" spans="1:24" x14ac:dyDescent="0.2">
      <c r="A903" s="191" t="s">
        <v>42</v>
      </c>
      <c r="B903" s="91">
        <f t="shared" ref="B903:G903" si="407">B900+B902-B855</f>
        <v>259200</v>
      </c>
      <c r="C903" s="91">
        <f t="shared" si="407"/>
        <v>12969222.964999996</v>
      </c>
      <c r="D903" s="91">
        <f t="shared" si="407"/>
        <v>34282414.349999987</v>
      </c>
      <c r="E903" s="91">
        <f t="shared" si="407"/>
        <v>59107150.710000053</v>
      </c>
      <c r="F903" s="91">
        <f t="shared" si="407"/>
        <v>28244691.603000011</v>
      </c>
      <c r="G903" s="180">
        <f t="shared" si="407"/>
        <v>134862679.62800005</v>
      </c>
      <c r="H903" s="91"/>
      <c r="I903" s="91">
        <f t="shared" ref="I903:W903" si="408">I900+I902-I855</f>
        <v>59742000</v>
      </c>
      <c r="J903" s="91">
        <f t="shared" si="408"/>
        <v>37634014</v>
      </c>
      <c r="K903" s="91">
        <f t="shared" si="408"/>
        <v>8533135</v>
      </c>
      <c r="L903" s="91">
        <f t="shared" si="408"/>
        <v>8008490</v>
      </c>
      <c r="M903" s="91">
        <f t="shared" si="408"/>
        <v>31524819</v>
      </c>
      <c r="N903" s="91">
        <f t="shared" si="408"/>
        <v>8874349</v>
      </c>
      <c r="O903" s="91">
        <f t="shared" si="408"/>
        <v>0</v>
      </c>
      <c r="P903" s="91">
        <f t="shared" si="408"/>
        <v>19424603</v>
      </c>
      <c r="Q903" s="91">
        <f t="shared" si="408"/>
        <v>7348529</v>
      </c>
      <c r="R903" s="180">
        <f t="shared" si="408"/>
        <v>181089939</v>
      </c>
      <c r="S903" s="180">
        <f t="shared" si="408"/>
        <v>152480513.833</v>
      </c>
      <c r="T903" s="215">
        <f t="shared" si="408"/>
        <v>41572160.449999981</v>
      </c>
      <c r="U903" s="86">
        <f t="shared" si="408"/>
        <v>5690513.8330000006</v>
      </c>
      <c r="V903" s="86">
        <f t="shared" si="408"/>
        <v>5194023</v>
      </c>
      <c r="W903" s="186">
        <f t="shared" si="408"/>
        <v>510005292.91100013</v>
      </c>
      <c r="X903" s="46">
        <f>X900+W902</f>
        <v>8979224448.4639988</v>
      </c>
    </row>
    <row r="904" spans="1:24" x14ac:dyDescent="0.2">
      <c r="A904" s="191"/>
      <c r="B904" s="52"/>
      <c r="C904" s="52"/>
      <c r="D904" s="52"/>
      <c r="E904" s="52"/>
      <c r="F904" s="52"/>
      <c r="G904" s="180"/>
      <c r="H904" s="91"/>
      <c r="I904" s="52"/>
      <c r="J904" s="52"/>
      <c r="K904" s="52"/>
      <c r="L904" s="52"/>
      <c r="M904" s="52"/>
      <c r="N904" s="52"/>
      <c r="O904" s="52"/>
      <c r="P904" s="52"/>
      <c r="Q904" s="52"/>
      <c r="R904" s="180"/>
      <c r="S904" s="180"/>
      <c r="T904" s="44"/>
      <c r="U904" s="86"/>
      <c r="V904" s="186"/>
      <c r="W904" s="186"/>
      <c r="X904" s="46"/>
    </row>
    <row r="905" spans="1:24" x14ac:dyDescent="0.2">
      <c r="A905" s="191" t="s">
        <v>49</v>
      </c>
      <c r="B905" s="91">
        <v>0</v>
      </c>
      <c r="C905" s="91">
        <v>2065518</v>
      </c>
      <c r="D905" s="91">
        <v>5118405</v>
      </c>
      <c r="E905" s="91">
        <v>4609779</v>
      </c>
      <c r="F905" s="91">
        <v>2659231</v>
      </c>
      <c r="G905" s="180">
        <f>SUM(B905:F905)</f>
        <v>14452933</v>
      </c>
      <c r="H905" s="91"/>
      <c r="I905" s="91">
        <v>3240000</v>
      </c>
      <c r="J905" s="91">
        <v>1682607</v>
      </c>
      <c r="K905" s="91">
        <v>1277913</v>
      </c>
      <c r="L905" s="91">
        <v>1127822</v>
      </c>
      <c r="M905" s="91">
        <v>3149218</v>
      </c>
      <c r="N905" s="91">
        <v>791833</v>
      </c>
      <c r="O905" s="91">
        <v>537975</v>
      </c>
      <c r="P905" s="91">
        <v>0</v>
      </c>
      <c r="Q905" s="91">
        <v>0</v>
      </c>
      <c r="R905" s="180">
        <f>SUM(I905:Q905)</f>
        <v>11807368</v>
      </c>
      <c r="S905" s="180">
        <v>13872562</v>
      </c>
      <c r="T905" s="91">
        <v>0</v>
      </c>
      <c r="U905" s="86">
        <f>S905-13448000</f>
        <v>424562</v>
      </c>
      <c r="V905" s="86">
        <v>0</v>
      </c>
      <c r="W905" s="186">
        <f>R905+G905+S905+T905</f>
        <v>40132863</v>
      </c>
      <c r="X905" s="46"/>
    </row>
    <row r="906" spans="1:24" x14ac:dyDescent="0.2">
      <c r="A906" s="191" t="s">
        <v>42</v>
      </c>
      <c r="B906" s="91">
        <f t="shared" ref="B906:G906" si="409">B903+B905-B858</f>
        <v>259200</v>
      </c>
      <c r="C906" s="91">
        <f t="shared" si="409"/>
        <v>12228477.855999995</v>
      </c>
      <c r="D906" s="91">
        <f t="shared" si="409"/>
        <v>33489286.446999986</v>
      </c>
      <c r="E906" s="91">
        <f t="shared" si="409"/>
        <v>58595832.431000054</v>
      </c>
      <c r="F906" s="91">
        <f t="shared" si="409"/>
        <v>29036987.175000012</v>
      </c>
      <c r="G906" s="180">
        <f t="shared" si="409"/>
        <v>133609783.90900005</v>
      </c>
      <c r="H906" s="91"/>
      <c r="I906" s="91">
        <f t="shared" ref="I906:W906" si="410">I903+I905-I858</f>
        <v>57654000</v>
      </c>
      <c r="J906" s="91">
        <f t="shared" si="410"/>
        <v>36420035</v>
      </c>
      <c r="K906" s="91">
        <f t="shared" si="410"/>
        <v>7978726</v>
      </c>
      <c r="L906" s="91">
        <f t="shared" si="410"/>
        <v>7555304</v>
      </c>
      <c r="M906" s="91">
        <f t="shared" si="410"/>
        <v>32006052</v>
      </c>
      <c r="N906" s="91">
        <f t="shared" si="410"/>
        <v>8891003</v>
      </c>
      <c r="O906" s="91">
        <f t="shared" si="410"/>
        <v>537975</v>
      </c>
      <c r="P906" s="91">
        <f t="shared" si="410"/>
        <v>16093139</v>
      </c>
      <c r="Q906" s="91">
        <f t="shared" si="410"/>
        <v>5534502</v>
      </c>
      <c r="R906" s="180">
        <f t="shared" si="410"/>
        <v>172670736</v>
      </c>
      <c r="S906" s="180">
        <f t="shared" si="410"/>
        <v>150033776.833</v>
      </c>
      <c r="T906" s="215">
        <f t="shared" si="410"/>
        <v>38516475.887999982</v>
      </c>
      <c r="U906" s="86">
        <f t="shared" si="410"/>
        <v>5419776.8330000006</v>
      </c>
      <c r="V906" s="86">
        <f t="shared" si="410"/>
        <v>5194023</v>
      </c>
      <c r="W906" s="186">
        <f t="shared" si="410"/>
        <v>494830772.63000011</v>
      </c>
      <c r="X906" s="46">
        <f>X903+W905</f>
        <v>9019357311.4639988</v>
      </c>
    </row>
    <row r="907" spans="1:24" x14ac:dyDescent="0.2">
      <c r="A907" s="191"/>
      <c r="B907" s="52"/>
      <c r="C907" s="52"/>
      <c r="D907" s="52"/>
      <c r="E907" s="52"/>
      <c r="F907" s="52"/>
      <c r="G907" s="180"/>
      <c r="H907" s="91"/>
      <c r="I907" s="52"/>
      <c r="J907" s="52"/>
      <c r="K907" s="52"/>
      <c r="L907" s="52"/>
      <c r="M907" s="52"/>
      <c r="N907" s="52"/>
      <c r="O907" s="52"/>
      <c r="P907" s="52"/>
      <c r="Q907" s="52"/>
      <c r="R907" s="180"/>
      <c r="S907" s="180"/>
      <c r="T907" s="44"/>
      <c r="U907" s="86"/>
      <c r="V907" s="186"/>
      <c r="W907" s="186"/>
      <c r="X907" s="46"/>
    </row>
    <row r="908" spans="1:24" x14ac:dyDescent="0.2">
      <c r="A908" s="191" t="s">
        <v>50</v>
      </c>
      <c r="B908" s="91">
        <v>0</v>
      </c>
      <c r="C908" s="91">
        <v>3242157.5469999998</v>
      </c>
      <c r="D908" s="91">
        <v>5721142</v>
      </c>
      <c r="E908" s="91">
        <v>4304021.4239999996</v>
      </c>
      <c r="F908" s="91">
        <v>2558963.497</v>
      </c>
      <c r="G908" s="180">
        <f>SUM(B908:F908)</f>
        <v>15826284.468</v>
      </c>
      <c r="H908" s="91"/>
      <c r="I908" s="91">
        <v>1356000</v>
      </c>
      <c r="J908" s="91">
        <v>0</v>
      </c>
      <c r="K908" s="91">
        <v>1664688</v>
      </c>
      <c r="L908" s="91">
        <v>1598223</v>
      </c>
      <c r="M908" s="91">
        <v>2978017</v>
      </c>
      <c r="N908" s="91">
        <v>691086</v>
      </c>
      <c r="O908" s="91">
        <v>1739371</v>
      </c>
      <c r="P908" s="91">
        <v>1661516</v>
      </c>
      <c r="Q908" s="91">
        <v>0</v>
      </c>
      <c r="R908" s="180">
        <f>SUM(I908:Q908)</f>
        <v>11688901</v>
      </c>
      <c r="S908" s="180">
        <v>9598057.6999999993</v>
      </c>
      <c r="T908" s="91">
        <v>5144085.3810000001</v>
      </c>
      <c r="U908" s="86">
        <f>S908-9132000</f>
        <v>466057.69999999925</v>
      </c>
      <c r="V908" s="86">
        <v>0</v>
      </c>
      <c r="W908" s="186">
        <f>R908+G908+S908+T908</f>
        <v>42257328.548999995</v>
      </c>
      <c r="X908" s="46"/>
    </row>
    <row r="909" spans="1:24" x14ac:dyDescent="0.2">
      <c r="A909" s="191" t="s">
        <v>42</v>
      </c>
      <c r="B909" s="91">
        <f t="shared" ref="B909:G909" si="411">B906+B908-B861</f>
        <v>240000</v>
      </c>
      <c r="C909" s="91">
        <f t="shared" si="411"/>
        <v>13125908.745999996</v>
      </c>
      <c r="D909" s="91">
        <f t="shared" si="411"/>
        <v>35517783.784999982</v>
      </c>
      <c r="E909" s="91">
        <f t="shared" si="411"/>
        <v>58710841.455000058</v>
      </c>
      <c r="F909" s="91">
        <f t="shared" si="411"/>
        <v>29963577.824000012</v>
      </c>
      <c r="G909" s="180">
        <f t="shared" si="411"/>
        <v>137558111.81000006</v>
      </c>
      <c r="H909" s="91"/>
      <c r="I909" s="91">
        <f t="shared" ref="I909:W909" si="412">I906+I908-I861</f>
        <v>53538000</v>
      </c>
      <c r="J909" s="91">
        <f t="shared" si="412"/>
        <v>32326689</v>
      </c>
      <c r="K909" s="91">
        <f t="shared" si="412"/>
        <v>8092254</v>
      </c>
      <c r="L909" s="91">
        <f t="shared" si="412"/>
        <v>7796532</v>
      </c>
      <c r="M909" s="91">
        <f t="shared" si="412"/>
        <v>31972047</v>
      </c>
      <c r="N909" s="91">
        <f t="shared" si="412"/>
        <v>8803565</v>
      </c>
      <c r="O909" s="91">
        <f t="shared" si="412"/>
        <v>2277346</v>
      </c>
      <c r="P909" s="91">
        <f t="shared" si="412"/>
        <v>14541491</v>
      </c>
      <c r="Q909" s="91">
        <f t="shared" si="412"/>
        <v>3955164</v>
      </c>
      <c r="R909" s="180">
        <f t="shared" si="412"/>
        <v>163303088</v>
      </c>
      <c r="S909" s="180">
        <f t="shared" si="412"/>
        <v>144243908.69999999</v>
      </c>
      <c r="T909" s="215">
        <f t="shared" si="412"/>
        <v>38909881.144999981</v>
      </c>
      <c r="U909" s="86">
        <f t="shared" si="412"/>
        <v>5401908.6999999993</v>
      </c>
      <c r="V909" s="86">
        <f t="shared" si="412"/>
        <v>5194023</v>
      </c>
      <c r="W909" s="186">
        <f t="shared" si="412"/>
        <v>484014989.65500015</v>
      </c>
      <c r="X909" s="46">
        <f>X906+W908</f>
        <v>9061614640.0129986</v>
      </c>
    </row>
    <row r="910" spans="1:24" x14ac:dyDescent="0.2">
      <c r="A910" s="191"/>
      <c r="B910" s="52"/>
      <c r="C910" s="52"/>
      <c r="D910" s="52"/>
      <c r="E910" s="52"/>
      <c r="F910" s="52"/>
      <c r="G910" s="180"/>
      <c r="H910" s="91"/>
      <c r="I910" s="52"/>
      <c r="J910" s="52"/>
      <c r="K910" s="52"/>
      <c r="L910" s="52"/>
      <c r="M910" s="52"/>
      <c r="N910" s="52"/>
      <c r="O910" s="52"/>
      <c r="P910" s="52"/>
      <c r="Q910" s="52"/>
      <c r="R910" s="180"/>
      <c r="S910" s="180"/>
      <c r="T910" s="44"/>
      <c r="U910" s="86"/>
      <c r="V910" s="186"/>
      <c r="W910" s="186"/>
      <c r="X910" s="46"/>
    </row>
    <row r="911" spans="1:24" x14ac:dyDescent="0.2">
      <c r="A911" s="191" t="s">
        <v>51</v>
      </c>
      <c r="B911" s="91">
        <v>0</v>
      </c>
      <c r="C911" s="91">
        <v>3128261</v>
      </c>
      <c r="D911" s="91">
        <v>5840964</v>
      </c>
      <c r="E911" s="91">
        <v>3814147</v>
      </c>
      <c r="F911" s="91">
        <v>2556103</v>
      </c>
      <c r="G911" s="180">
        <f>SUM(B911:F911)</f>
        <v>15339475</v>
      </c>
      <c r="H911" s="91"/>
      <c r="I911" s="91">
        <v>1524000</v>
      </c>
      <c r="J911" s="91">
        <v>0</v>
      </c>
      <c r="K911" s="91">
        <v>1707567</v>
      </c>
      <c r="L911" s="91">
        <v>1687180</v>
      </c>
      <c r="M911" s="91">
        <v>2084476</v>
      </c>
      <c r="N911" s="91">
        <v>562724</v>
      </c>
      <c r="O911" s="91">
        <v>1901983</v>
      </c>
      <c r="P911" s="91">
        <v>1409769</v>
      </c>
      <c r="Q911" s="91">
        <v>0</v>
      </c>
      <c r="R911" s="180">
        <f>SUM(I911:Q911)</f>
        <v>10877699</v>
      </c>
      <c r="S911" s="180">
        <v>7874680.7000000002</v>
      </c>
      <c r="T911" s="91">
        <v>9340850</v>
      </c>
      <c r="U911" s="86">
        <f>S911-7517000</f>
        <v>357680.70000000019</v>
      </c>
      <c r="V911" s="86">
        <v>0</v>
      </c>
      <c r="W911" s="186">
        <f>R911+G911+S911+T911</f>
        <v>43432704.700000003</v>
      </c>
      <c r="X911" s="46"/>
    </row>
    <row r="912" spans="1:24" x14ac:dyDescent="0.2">
      <c r="A912" s="191" t="s">
        <v>42</v>
      </c>
      <c r="B912" s="91">
        <f t="shared" ref="B912:G912" si="413">B909+B911-B864</f>
        <v>240000</v>
      </c>
      <c r="C912" s="91">
        <f t="shared" si="413"/>
        <v>14829348.546999995</v>
      </c>
      <c r="D912" s="91">
        <f t="shared" si="413"/>
        <v>37368241.999999985</v>
      </c>
      <c r="E912" s="91">
        <f t="shared" si="413"/>
        <v>58068144.424000055</v>
      </c>
      <c r="F912" s="91">
        <f t="shared" si="413"/>
        <v>31594039.497000013</v>
      </c>
      <c r="G912" s="180">
        <f t="shared" si="413"/>
        <v>142099774.46800005</v>
      </c>
      <c r="H912" s="91"/>
      <c r="I912" s="91">
        <f t="shared" ref="I912:W912" si="414">I909+I911-I864</f>
        <v>49302000</v>
      </c>
      <c r="J912" s="91">
        <f t="shared" si="414"/>
        <v>28441975</v>
      </c>
      <c r="K912" s="91">
        <f t="shared" si="414"/>
        <v>8889530</v>
      </c>
      <c r="L912" s="91">
        <f t="shared" si="414"/>
        <v>8669585</v>
      </c>
      <c r="M912" s="91">
        <f t="shared" si="414"/>
        <v>30537571</v>
      </c>
      <c r="N912" s="91">
        <f t="shared" si="414"/>
        <v>8642278</v>
      </c>
      <c r="O912" s="91">
        <f t="shared" si="414"/>
        <v>4179329</v>
      </c>
      <c r="P912" s="91">
        <f t="shared" si="414"/>
        <v>12687869</v>
      </c>
      <c r="Q912" s="91">
        <f t="shared" si="414"/>
        <v>2236312</v>
      </c>
      <c r="R912" s="180">
        <f t="shared" si="414"/>
        <v>153586449</v>
      </c>
      <c r="S912" s="180">
        <f t="shared" si="414"/>
        <v>135993366.39999998</v>
      </c>
      <c r="T912" s="215">
        <f t="shared" si="414"/>
        <v>41850980.094999984</v>
      </c>
      <c r="U912" s="86">
        <f t="shared" si="414"/>
        <v>5243366.3999999994</v>
      </c>
      <c r="V912" s="86">
        <f t="shared" si="414"/>
        <v>5194023</v>
      </c>
      <c r="W912" s="186">
        <f t="shared" si="414"/>
        <v>473530569.96300012</v>
      </c>
      <c r="X912" s="46">
        <f>X909+W911</f>
        <v>9105047344.7129993</v>
      </c>
    </row>
    <row r="913" spans="1:24" x14ac:dyDescent="0.2">
      <c r="A913" s="191"/>
      <c r="B913" s="52"/>
      <c r="C913" s="52"/>
      <c r="D913" s="52"/>
      <c r="E913" s="52"/>
      <c r="F913" s="52"/>
      <c r="G913" s="180"/>
      <c r="H913" s="91"/>
      <c r="I913" s="52"/>
      <c r="J913" s="52"/>
      <c r="K913" s="52"/>
      <c r="L913" s="52"/>
      <c r="M913" s="52"/>
      <c r="N913" s="52"/>
      <c r="O913" s="52"/>
      <c r="P913" s="52"/>
      <c r="Q913" s="52"/>
      <c r="R913" s="180"/>
      <c r="S913" s="180"/>
      <c r="T913" s="44"/>
      <c r="U913" s="86"/>
      <c r="V913" s="186"/>
      <c r="W913" s="186"/>
      <c r="X913" s="46"/>
    </row>
    <row r="914" spans="1:24" x14ac:dyDescent="0.2">
      <c r="A914" s="191" t="s">
        <v>52</v>
      </c>
      <c r="B914" s="91">
        <v>14400</v>
      </c>
      <c r="C914" s="91">
        <v>2895425</v>
      </c>
      <c r="D914" s="91">
        <v>5258068</v>
      </c>
      <c r="E914" s="91">
        <v>2598074</v>
      </c>
      <c r="F914" s="91">
        <v>2821303</v>
      </c>
      <c r="G914" s="180">
        <f>SUM(B914:F914)</f>
        <v>13587270</v>
      </c>
      <c r="H914" s="91"/>
      <c r="I914" s="91">
        <v>1344000</v>
      </c>
      <c r="J914" s="91">
        <v>0</v>
      </c>
      <c r="K914" s="91">
        <v>1814150</v>
      </c>
      <c r="L914" s="91">
        <v>1729343</v>
      </c>
      <c r="M914" s="91">
        <v>2067569</v>
      </c>
      <c r="N914" s="91">
        <v>721487</v>
      </c>
      <c r="O914" s="91">
        <v>1755666</v>
      </c>
      <c r="P914" s="91">
        <v>2139745</v>
      </c>
      <c r="Q914" s="91">
        <v>0</v>
      </c>
      <c r="R914" s="180">
        <f>SUM(I914:Q914)</f>
        <v>11571960</v>
      </c>
      <c r="S914" s="180">
        <v>8635155.023</v>
      </c>
      <c r="T914" s="91">
        <v>8428604</v>
      </c>
      <c r="U914" s="86">
        <f>S914-8203000</f>
        <v>432155.02300000004</v>
      </c>
      <c r="V914" s="86">
        <v>0</v>
      </c>
      <c r="W914" s="186">
        <f>R914+G914+S914+T914</f>
        <v>42222989.023000002</v>
      </c>
      <c r="X914" s="46"/>
    </row>
    <row r="915" spans="1:24" x14ac:dyDescent="0.2">
      <c r="A915" s="191" t="s">
        <v>42</v>
      </c>
      <c r="B915" s="91">
        <f t="shared" ref="B915:G915" si="415">B912+B914-B867</f>
        <v>254400</v>
      </c>
      <c r="C915" s="91">
        <f t="shared" si="415"/>
        <v>17323982.546999995</v>
      </c>
      <c r="D915" s="91">
        <f t="shared" si="415"/>
        <v>40664459.999999985</v>
      </c>
      <c r="E915" s="91">
        <f t="shared" si="415"/>
        <v>55581249.424000055</v>
      </c>
      <c r="F915" s="91">
        <f t="shared" si="415"/>
        <v>32299045.497000009</v>
      </c>
      <c r="G915" s="180">
        <f t="shared" si="415"/>
        <v>146123137.46800005</v>
      </c>
      <c r="H915" s="91"/>
      <c r="I915" s="91">
        <f t="shared" ref="I915:W915" si="416">I912+I914-I867</f>
        <v>45102000</v>
      </c>
      <c r="J915" s="91">
        <f t="shared" si="416"/>
        <v>24523536</v>
      </c>
      <c r="K915" s="91">
        <f t="shared" si="416"/>
        <v>10423579</v>
      </c>
      <c r="L915" s="91">
        <f t="shared" si="416"/>
        <v>10137188</v>
      </c>
      <c r="M915" s="91">
        <f t="shared" si="416"/>
        <v>30019017</v>
      </c>
      <c r="N915" s="91">
        <f t="shared" si="416"/>
        <v>8710607</v>
      </c>
      <c r="O915" s="91">
        <f t="shared" si="416"/>
        <v>5934995</v>
      </c>
      <c r="P915" s="91">
        <f t="shared" si="416"/>
        <v>14213615</v>
      </c>
      <c r="Q915" s="91">
        <f t="shared" si="416"/>
        <v>1284065</v>
      </c>
      <c r="R915" s="180">
        <f t="shared" si="416"/>
        <v>150348602</v>
      </c>
      <c r="S915" s="180">
        <f t="shared" si="416"/>
        <v>130224508.42299998</v>
      </c>
      <c r="T915" s="215">
        <f t="shared" si="416"/>
        <v>42901770.126999982</v>
      </c>
      <c r="U915" s="86">
        <f t="shared" si="416"/>
        <v>5159508.4229999995</v>
      </c>
      <c r="V915" s="86">
        <f t="shared" si="416"/>
        <v>5194023</v>
      </c>
      <c r="W915" s="186">
        <f t="shared" si="416"/>
        <v>469598018.01800013</v>
      </c>
      <c r="X915" s="46">
        <f>X912+W914</f>
        <v>9147270333.7360001</v>
      </c>
    </row>
    <row r="916" spans="1:24" x14ac:dyDescent="0.2">
      <c r="A916" s="191"/>
      <c r="B916" s="52"/>
      <c r="C916" s="52"/>
      <c r="D916" s="52"/>
      <c r="E916" s="52"/>
      <c r="F916" s="52"/>
      <c r="G916" s="180"/>
      <c r="H916" s="91"/>
      <c r="I916" s="52"/>
      <c r="J916" s="52"/>
      <c r="K916" s="52"/>
      <c r="L916" s="52"/>
      <c r="M916" s="52"/>
      <c r="N916" s="52"/>
      <c r="O916" s="52"/>
      <c r="P916" s="52"/>
      <c r="Q916" s="52"/>
      <c r="R916" s="180"/>
      <c r="S916" s="180"/>
      <c r="T916" s="44"/>
      <c r="U916" s="86"/>
      <c r="V916" s="186"/>
      <c r="W916" s="186"/>
      <c r="X916" s="46"/>
    </row>
    <row r="917" spans="1:24" x14ac:dyDescent="0.2">
      <c r="A917" s="191" t="s">
        <v>53</v>
      </c>
      <c r="B917" s="91">
        <v>0</v>
      </c>
      <c r="C917" s="91">
        <v>832934</v>
      </c>
      <c r="D917" s="91">
        <v>5081217</v>
      </c>
      <c r="E917" s="91">
        <v>0</v>
      </c>
      <c r="F917" s="91">
        <v>2235980</v>
      </c>
      <c r="G917" s="180">
        <f>SUM(B917:F917)</f>
        <v>8150131</v>
      </c>
      <c r="H917" s="91"/>
      <c r="I917" s="91">
        <v>1284000</v>
      </c>
      <c r="J917" s="91">
        <v>0</v>
      </c>
      <c r="K917" s="91">
        <v>111389</v>
      </c>
      <c r="L917" s="91">
        <v>106023</v>
      </c>
      <c r="M917" s="91">
        <v>198443</v>
      </c>
      <c r="N917" s="91">
        <v>628736</v>
      </c>
      <c r="O917" s="91">
        <v>543127</v>
      </c>
      <c r="P917" s="91">
        <v>2674993</v>
      </c>
      <c r="Q917" s="91">
        <v>0</v>
      </c>
      <c r="R917" s="180">
        <f>SUM(I917:Q917)</f>
        <v>5546711</v>
      </c>
      <c r="S917" s="180">
        <v>6885656</v>
      </c>
      <c r="T917" s="91">
        <v>2428156</v>
      </c>
      <c r="U917" s="86">
        <f>S917-6700000</f>
        <v>185656</v>
      </c>
      <c r="V917" s="86">
        <v>0</v>
      </c>
      <c r="W917" s="186">
        <f>R917+G917+S917+T917</f>
        <v>23010654</v>
      </c>
      <c r="X917" s="46"/>
    </row>
    <row r="918" spans="1:24" ht="13.5" thickBot="1" x14ac:dyDescent="0.25">
      <c r="A918" s="192" t="s">
        <v>42</v>
      </c>
      <c r="B918" s="187">
        <f t="shared" ref="B918:G918" si="417">B915+B917-B870</f>
        <v>254400</v>
      </c>
      <c r="C918" s="187">
        <f t="shared" si="417"/>
        <v>18156916.546999995</v>
      </c>
      <c r="D918" s="187">
        <f t="shared" si="417"/>
        <v>45456858.999999985</v>
      </c>
      <c r="E918" s="187">
        <f t="shared" si="417"/>
        <v>49708994.424000055</v>
      </c>
      <c r="F918" s="187">
        <f t="shared" si="417"/>
        <v>31566794.497000009</v>
      </c>
      <c r="G918" s="188">
        <f t="shared" si="417"/>
        <v>145143964.46800005</v>
      </c>
      <c r="H918" s="187"/>
      <c r="I918" s="187">
        <f t="shared" ref="I918:W918" si="418">I915+I917-I870</f>
        <v>41502000</v>
      </c>
      <c r="J918" s="187">
        <f t="shared" si="418"/>
        <v>22457831</v>
      </c>
      <c r="K918" s="187">
        <f t="shared" si="418"/>
        <v>10534968</v>
      </c>
      <c r="L918" s="187">
        <f t="shared" si="418"/>
        <v>10243211</v>
      </c>
      <c r="M918" s="187">
        <f t="shared" si="418"/>
        <v>26859622</v>
      </c>
      <c r="N918" s="187">
        <f t="shared" si="418"/>
        <v>8563177</v>
      </c>
      <c r="O918" s="187">
        <f t="shared" si="418"/>
        <v>6478122</v>
      </c>
      <c r="P918" s="187">
        <f t="shared" si="418"/>
        <v>14927352</v>
      </c>
      <c r="Q918" s="187">
        <f t="shared" si="418"/>
        <v>1284065</v>
      </c>
      <c r="R918" s="188">
        <f t="shared" si="418"/>
        <v>142850348</v>
      </c>
      <c r="S918" s="188">
        <f t="shared" si="418"/>
        <v>127703424.42299998</v>
      </c>
      <c r="T918" s="212">
        <f t="shared" si="418"/>
        <v>41606847.126999982</v>
      </c>
      <c r="U918" s="212">
        <f t="shared" si="418"/>
        <v>5226424.4229999995</v>
      </c>
      <c r="V918" s="224">
        <f t="shared" si="418"/>
        <v>2631010</v>
      </c>
      <c r="W918" s="189">
        <f t="shared" si="418"/>
        <v>457304584.01800013</v>
      </c>
      <c r="X918" s="190">
        <f>X915+W917</f>
        <v>9170280987.7360001</v>
      </c>
    </row>
    <row r="919" spans="1:24" x14ac:dyDescent="0.2">
      <c r="A919" s="211" t="s">
        <v>128</v>
      </c>
    </row>
    <row r="920" spans="1:24" x14ac:dyDescent="0.2">
      <c r="A920" s="211" t="s">
        <v>142</v>
      </c>
      <c r="S920" t="s">
        <v>197</v>
      </c>
      <c r="T920" s="219"/>
    </row>
    <row r="921" spans="1:24" x14ac:dyDescent="0.2">
      <c r="A921" s="211" t="s">
        <v>182</v>
      </c>
      <c r="S921" t="s">
        <v>122</v>
      </c>
    </row>
    <row r="923" spans="1:24" ht="27" x14ac:dyDescent="0.35">
      <c r="A923" s="126" t="s">
        <v>195</v>
      </c>
      <c r="B923" s="121"/>
      <c r="C923" s="121"/>
      <c r="D923" s="122"/>
      <c r="E923" s="121"/>
      <c r="F923" s="121"/>
      <c r="G923" s="121"/>
      <c r="H923" s="121"/>
      <c r="I923" s="121"/>
      <c r="J923" s="121"/>
      <c r="K923" s="121"/>
      <c r="L923" s="123"/>
      <c r="M923" s="124"/>
      <c r="N923" s="121"/>
      <c r="O923" s="121"/>
      <c r="P923" s="121"/>
      <c r="Q923" s="121"/>
      <c r="R923" s="121"/>
      <c r="S923" s="121"/>
      <c r="T923" s="121"/>
      <c r="U923" s="121"/>
      <c r="V923" s="121"/>
      <c r="W923" s="125"/>
      <c r="X923" s="121"/>
    </row>
    <row r="924" spans="1:24" x14ac:dyDescent="0.2">
      <c r="A924" s="52"/>
      <c r="B924" s="52"/>
      <c r="C924" s="21"/>
      <c r="D924" s="115"/>
      <c r="E924" s="52"/>
      <c r="F924" s="115"/>
      <c r="G924" s="248" t="s">
        <v>60</v>
      </c>
      <c r="H924" s="115"/>
      <c r="I924" s="115"/>
      <c r="J924" s="115"/>
      <c r="K924" s="52"/>
      <c r="L924" s="115"/>
      <c r="M924" s="52"/>
      <c r="N924" s="52"/>
      <c r="O924" s="52"/>
      <c r="P924" s="52"/>
      <c r="Q924" s="52"/>
      <c r="R924" s="52"/>
      <c r="S924" s="52"/>
      <c r="T924" s="52"/>
      <c r="U924" s="52"/>
      <c r="V924" s="52"/>
      <c r="W924" s="91"/>
      <c r="X924" s="91"/>
    </row>
    <row r="925" spans="1:24" ht="27.75" thickBot="1" x14ac:dyDescent="0.4">
      <c r="A925" s="126" t="s">
        <v>107</v>
      </c>
      <c r="B925" s="121"/>
      <c r="C925" s="121"/>
      <c r="D925" s="121"/>
      <c r="E925" s="121"/>
      <c r="F925" s="122"/>
      <c r="G925" s="121"/>
      <c r="H925" s="121"/>
      <c r="I925" s="121"/>
      <c r="J925" s="121"/>
      <c r="K925" s="121"/>
      <c r="L925" s="121"/>
      <c r="M925" s="121"/>
      <c r="N925" s="121"/>
      <c r="O925" s="121"/>
      <c r="P925" s="121"/>
      <c r="Q925" s="121"/>
      <c r="R925" s="121"/>
      <c r="S925" s="121"/>
      <c r="T925" s="121"/>
      <c r="U925" s="121"/>
      <c r="V925" s="121"/>
      <c r="W925" s="125"/>
      <c r="X925" s="125"/>
    </row>
    <row r="926" spans="1:24" x14ac:dyDescent="0.2">
      <c r="A926" s="174"/>
      <c r="B926" s="173"/>
      <c r="C926" s="173"/>
      <c r="D926" s="173"/>
      <c r="E926" s="173"/>
      <c r="F926" s="173"/>
      <c r="G926" s="173"/>
      <c r="H926" s="173"/>
      <c r="I926" s="173"/>
      <c r="J926" s="173"/>
      <c r="K926" s="173"/>
      <c r="L926" s="173"/>
      <c r="M926" s="173"/>
      <c r="N926" s="173"/>
      <c r="O926" s="173"/>
      <c r="P926" s="173"/>
      <c r="Q926" s="173"/>
      <c r="R926" s="173"/>
      <c r="S926" s="173"/>
      <c r="T926" s="173"/>
      <c r="U926" s="173"/>
      <c r="V926" s="173"/>
      <c r="W926" s="173"/>
      <c r="X926" s="181"/>
    </row>
    <row r="927" spans="1:24" ht="13.5" thickBot="1" x14ac:dyDescent="0.25">
      <c r="A927" s="176"/>
      <c r="B927" s="179" t="s">
        <v>112</v>
      </c>
      <c r="C927" s="177"/>
      <c r="D927" s="177"/>
      <c r="E927" s="177"/>
      <c r="F927" s="177"/>
      <c r="G927" s="177"/>
      <c r="H927" s="177"/>
      <c r="I927" s="177"/>
      <c r="J927" s="177"/>
      <c r="K927" s="177"/>
      <c r="L927" s="179" t="s">
        <v>113</v>
      </c>
      <c r="M927" s="177"/>
      <c r="N927" s="177"/>
      <c r="O927" s="177"/>
      <c r="P927" s="177"/>
      <c r="Q927" s="177"/>
      <c r="R927" s="177"/>
      <c r="S927" s="177"/>
      <c r="T927" s="177"/>
      <c r="U927" s="177"/>
      <c r="V927" s="177"/>
      <c r="W927" s="177"/>
      <c r="X927" s="182"/>
    </row>
    <row r="928" spans="1:24" x14ac:dyDescent="0.2">
      <c r="A928" s="175"/>
      <c r="B928" s="155" t="s">
        <v>11</v>
      </c>
      <c r="C928" s="155" t="s">
        <v>12</v>
      </c>
      <c r="D928" s="155" t="s">
        <v>13</v>
      </c>
      <c r="E928" s="155" t="s">
        <v>14</v>
      </c>
      <c r="F928" s="155" t="s">
        <v>15</v>
      </c>
      <c r="G928" s="193" t="s">
        <v>16</v>
      </c>
      <c r="H928" s="21"/>
      <c r="I928" s="155" t="s">
        <v>17</v>
      </c>
      <c r="J928" s="21"/>
      <c r="K928" s="21"/>
      <c r="L928" s="21"/>
      <c r="M928" s="21"/>
      <c r="N928" s="155" t="s">
        <v>18</v>
      </c>
      <c r="O928" s="155" t="s">
        <v>19</v>
      </c>
      <c r="P928" s="155" t="s">
        <v>20</v>
      </c>
      <c r="Q928" s="155" t="s">
        <v>21</v>
      </c>
      <c r="R928" s="193" t="s">
        <v>16</v>
      </c>
      <c r="S928" s="193" t="s">
        <v>114</v>
      </c>
      <c r="T928" s="209" t="s">
        <v>127</v>
      </c>
      <c r="U928" s="207" t="s">
        <v>138</v>
      </c>
      <c r="V928" s="221" t="s">
        <v>136</v>
      </c>
      <c r="W928" s="155" t="s">
        <v>7</v>
      </c>
      <c r="X928" s="194" t="s">
        <v>70</v>
      </c>
    </row>
    <row r="929" spans="1:24" ht="13.5" thickBot="1" x14ac:dyDescent="0.25">
      <c r="A929" s="176"/>
      <c r="B929" s="179" t="s">
        <v>23</v>
      </c>
      <c r="C929" s="179" t="s">
        <v>24</v>
      </c>
      <c r="D929" s="179" t="s">
        <v>25</v>
      </c>
      <c r="E929" s="179" t="s">
        <v>26</v>
      </c>
      <c r="F929" s="179" t="s">
        <v>27</v>
      </c>
      <c r="G929" s="195" t="s">
        <v>28</v>
      </c>
      <c r="H929" s="179"/>
      <c r="I929" s="179" t="s">
        <v>29</v>
      </c>
      <c r="J929" s="179" t="s">
        <v>30</v>
      </c>
      <c r="K929" s="179" t="s">
        <v>31</v>
      </c>
      <c r="L929" s="179" t="s">
        <v>32</v>
      </c>
      <c r="M929" s="179" t="s">
        <v>33</v>
      </c>
      <c r="N929" s="179" t="s">
        <v>34</v>
      </c>
      <c r="O929" s="179" t="s">
        <v>35</v>
      </c>
      <c r="P929" s="179" t="s">
        <v>36</v>
      </c>
      <c r="Q929" s="179" t="s">
        <v>37</v>
      </c>
      <c r="R929" s="195" t="s">
        <v>28</v>
      </c>
      <c r="S929" s="195" t="s">
        <v>129</v>
      </c>
      <c r="T929" s="210" t="s">
        <v>130</v>
      </c>
      <c r="U929" s="179" t="s">
        <v>139</v>
      </c>
      <c r="V929" s="222" t="s">
        <v>143</v>
      </c>
      <c r="W929" s="179" t="s">
        <v>181</v>
      </c>
      <c r="X929" s="196" t="s">
        <v>71</v>
      </c>
    </row>
    <row r="930" spans="1:24" x14ac:dyDescent="0.2">
      <c r="A930" s="175"/>
      <c r="B930" s="117"/>
      <c r="C930" s="117"/>
      <c r="D930" s="117"/>
      <c r="E930" s="117"/>
      <c r="F930" s="117"/>
      <c r="G930" s="178"/>
      <c r="H930" s="52"/>
      <c r="I930" s="117"/>
      <c r="J930" s="117"/>
      <c r="K930" s="117"/>
      <c r="L930" s="117"/>
      <c r="M930" s="117"/>
      <c r="N930" s="117"/>
      <c r="O930" s="117"/>
      <c r="P930" s="117"/>
      <c r="Q930" s="117"/>
      <c r="R930" s="178"/>
      <c r="S930" s="208"/>
      <c r="T930" s="185"/>
      <c r="U930" s="185"/>
      <c r="V930" s="185"/>
      <c r="W930" s="185"/>
      <c r="X930" s="183"/>
    </row>
    <row r="931" spans="1:24" x14ac:dyDescent="0.2">
      <c r="A931" s="191" t="s">
        <v>41</v>
      </c>
      <c r="B931" s="91">
        <v>0</v>
      </c>
      <c r="C931" s="91">
        <v>1124183</v>
      </c>
      <c r="D931" s="91">
        <v>5815946</v>
      </c>
      <c r="E931" s="91">
        <v>0</v>
      </c>
      <c r="F931" s="91">
        <v>1691568</v>
      </c>
      <c r="G931" s="180">
        <f>SUM(B931:F931)</f>
        <v>8631697</v>
      </c>
      <c r="H931" s="91"/>
      <c r="I931" s="91">
        <v>1416000</v>
      </c>
      <c r="J931" s="91">
        <v>0</v>
      </c>
      <c r="K931" s="91">
        <v>435145</v>
      </c>
      <c r="L931" s="91">
        <v>441637</v>
      </c>
      <c r="M931" s="91">
        <v>1979708</v>
      </c>
      <c r="N931" s="91">
        <v>437312</v>
      </c>
      <c r="O931" s="91">
        <v>479216</v>
      </c>
      <c r="P931" s="91">
        <v>2701132</v>
      </c>
      <c r="Q931" s="91">
        <v>0</v>
      </c>
      <c r="R931" s="180">
        <f>SUM(I931:Q931)</f>
        <v>7890150</v>
      </c>
      <c r="S931" s="180">
        <v>4329295.7019999996</v>
      </c>
      <c r="T931" s="91">
        <v>0</v>
      </c>
      <c r="U931" s="86">
        <f>S931-4155000</f>
        <v>174295.70199999958</v>
      </c>
      <c r="V931" s="186">
        <v>0</v>
      </c>
      <c r="W931" s="186">
        <f>R931+G931+S931+T931</f>
        <v>20851142.702</v>
      </c>
      <c r="X931" s="46"/>
    </row>
    <row r="932" spans="1:24" x14ac:dyDescent="0.2">
      <c r="A932" s="191" t="s">
        <v>42</v>
      </c>
      <c r="B932" s="91">
        <f t="shared" ref="B932:G932" si="419">B918+B931-B884</f>
        <v>254400</v>
      </c>
      <c r="C932" s="91">
        <f t="shared" si="419"/>
        <v>17928772.546999995</v>
      </c>
      <c r="D932" s="91">
        <f t="shared" si="419"/>
        <v>51272804.999999985</v>
      </c>
      <c r="E932" s="91">
        <f t="shared" si="419"/>
        <v>43377129.424000055</v>
      </c>
      <c r="F932" s="91">
        <f t="shared" si="419"/>
        <v>30563695.497000009</v>
      </c>
      <c r="G932" s="180">
        <f t="shared" si="419"/>
        <v>143396802.46800005</v>
      </c>
      <c r="H932" s="91"/>
      <c r="I932" s="91">
        <f t="shared" ref="I932:W932" si="420">I918+I931-I884</f>
        <v>41820000</v>
      </c>
      <c r="J932" s="91">
        <f t="shared" si="420"/>
        <v>22457831</v>
      </c>
      <c r="K932" s="91">
        <f t="shared" si="420"/>
        <v>9855699</v>
      </c>
      <c r="L932" s="91">
        <f t="shared" si="420"/>
        <v>9566771</v>
      </c>
      <c r="M932" s="91">
        <f t="shared" si="420"/>
        <v>25622666</v>
      </c>
      <c r="N932" s="91">
        <f t="shared" si="420"/>
        <v>8316537</v>
      </c>
      <c r="O932" s="91">
        <f t="shared" si="420"/>
        <v>6957338</v>
      </c>
      <c r="P932" s="91">
        <f t="shared" si="420"/>
        <v>15366684</v>
      </c>
      <c r="Q932" s="91">
        <f t="shared" si="420"/>
        <v>1284065</v>
      </c>
      <c r="R932" s="180">
        <f t="shared" si="420"/>
        <v>141247591</v>
      </c>
      <c r="S932" s="180">
        <f t="shared" si="420"/>
        <v>119697880.12499997</v>
      </c>
      <c r="T932" s="215">
        <f t="shared" si="420"/>
        <v>40823379.126999982</v>
      </c>
      <c r="U932" s="86">
        <f t="shared" si="420"/>
        <v>4807880.1249999991</v>
      </c>
      <c r="V932" s="86">
        <f t="shared" si="420"/>
        <v>2631010</v>
      </c>
      <c r="W932" s="186">
        <f t="shared" si="420"/>
        <v>445165652.72000015</v>
      </c>
      <c r="X932" s="46">
        <f>X918+W931</f>
        <v>9191132130.4379997</v>
      </c>
    </row>
    <row r="933" spans="1:24" x14ac:dyDescent="0.2">
      <c r="A933" s="191"/>
      <c r="B933" s="52"/>
      <c r="C933" s="52"/>
      <c r="D933" s="52"/>
      <c r="E933" s="52"/>
      <c r="F933" s="52"/>
      <c r="G933" s="180"/>
      <c r="H933" s="91"/>
      <c r="I933" s="52"/>
      <c r="J933" s="52"/>
      <c r="K933" s="52"/>
      <c r="L933" s="52"/>
      <c r="M933" s="52"/>
      <c r="N933" s="52"/>
      <c r="O933" s="52"/>
      <c r="P933" s="52"/>
      <c r="Q933" s="52"/>
      <c r="R933" s="180"/>
      <c r="S933" s="178"/>
      <c r="T933" s="218"/>
      <c r="U933" s="217"/>
      <c r="V933" s="185"/>
      <c r="W933" s="186"/>
      <c r="X933" s="46"/>
    </row>
    <row r="934" spans="1:24" x14ac:dyDescent="0.2">
      <c r="A934" s="191" t="s">
        <v>43</v>
      </c>
      <c r="B934" s="91">
        <v>0</v>
      </c>
      <c r="C934" s="91">
        <v>2387205</v>
      </c>
      <c r="D934" s="91">
        <v>4127006</v>
      </c>
      <c r="E934" s="91">
        <v>0</v>
      </c>
      <c r="F934" s="91">
        <v>2432809</v>
      </c>
      <c r="G934" s="180">
        <f>SUM(B934:F934)</f>
        <v>8947020</v>
      </c>
      <c r="H934" s="91"/>
      <c r="I934" s="91">
        <v>0</v>
      </c>
      <c r="J934" s="91">
        <v>0</v>
      </c>
      <c r="K934" s="91">
        <v>0</v>
      </c>
      <c r="L934" s="91">
        <v>0</v>
      </c>
      <c r="M934" s="91">
        <v>696328</v>
      </c>
      <c r="N934" s="91">
        <v>322814</v>
      </c>
      <c r="O934" s="91">
        <v>1279855</v>
      </c>
      <c r="P934" s="91">
        <v>1954867</v>
      </c>
      <c r="Q934" s="91">
        <v>0</v>
      </c>
      <c r="R934" s="180">
        <f>SUM(I934:Q934)</f>
        <v>4253864</v>
      </c>
      <c r="S934" s="180">
        <v>4629054</v>
      </c>
      <c r="T934" s="91">
        <v>425919</v>
      </c>
      <c r="U934" s="86">
        <f>S934-4364000</f>
        <v>265054</v>
      </c>
      <c r="V934" s="86">
        <v>2237190</v>
      </c>
      <c r="W934" s="186">
        <f>R934+G934+S934+T934</f>
        <v>18255857</v>
      </c>
      <c r="X934" s="46"/>
    </row>
    <row r="935" spans="1:24" x14ac:dyDescent="0.2">
      <c r="A935" s="191" t="s">
        <v>42</v>
      </c>
      <c r="B935" s="91">
        <f t="shared" ref="B935:G935" si="421">B932+B934-B887</f>
        <v>249600</v>
      </c>
      <c r="C935" s="91">
        <f t="shared" si="421"/>
        <v>19417198.546999995</v>
      </c>
      <c r="D935" s="91">
        <f t="shared" si="421"/>
        <v>55399810.999999985</v>
      </c>
      <c r="E935" s="91">
        <f t="shared" si="421"/>
        <v>41071837.424000055</v>
      </c>
      <c r="F935" s="91">
        <f t="shared" si="421"/>
        <v>30592244.497000009</v>
      </c>
      <c r="G935" s="180">
        <f t="shared" si="421"/>
        <v>146730691.46800005</v>
      </c>
      <c r="H935" s="91"/>
      <c r="I935" s="91">
        <f t="shared" ref="I935:W935" si="422">I932+I934-I887</f>
        <v>37800000</v>
      </c>
      <c r="J935" s="91">
        <f t="shared" si="422"/>
        <v>20362259</v>
      </c>
      <c r="K935" s="91">
        <f t="shared" si="422"/>
        <v>9748371</v>
      </c>
      <c r="L935" s="91">
        <f t="shared" si="422"/>
        <v>9471223</v>
      </c>
      <c r="M935" s="91">
        <f t="shared" si="422"/>
        <v>25738737</v>
      </c>
      <c r="N935" s="91">
        <f t="shared" si="422"/>
        <v>7958964</v>
      </c>
      <c r="O935" s="91">
        <f t="shared" si="422"/>
        <v>8237193</v>
      </c>
      <c r="P935" s="91">
        <f t="shared" si="422"/>
        <v>14324569</v>
      </c>
      <c r="Q935" s="91">
        <f t="shared" si="422"/>
        <v>1284065</v>
      </c>
      <c r="R935" s="180">
        <f t="shared" si="422"/>
        <v>134925381</v>
      </c>
      <c r="S935" s="180">
        <f t="shared" si="422"/>
        <v>116213752.12499997</v>
      </c>
      <c r="T935" s="215">
        <f t="shared" si="422"/>
        <v>40844104.219999984</v>
      </c>
      <c r="U935" s="86">
        <f t="shared" si="422"/>
        <v>4584752.1249999991</v>
      </c>
      <c r="V935" s="86">
        <f t="shared" si="422"/>
        <v>2237190</v>
      </c>
      <c r="W935" s="186">
        <f t="shared" si="422"/>
        <v>438713928.81300014</v>
      </c>
      <c r="X935" s="46">
        <f>X932+W934</f>
        <v>9209387987.4379997</v>
      </c>
    </row>
    <row r="936" spans="1:24" x14ac:dyDescent="0.2">
      <c r="A936" s="191"/>
      <c r="B936" s="91"/>
      <c r="C936" s="91"/>
      <c r="D936" s="91"/>
      <c r="E936" s="91"/>
      <c r="F936" s="91"/>
      <c r="G936" s="180"/>
      <c r="H936" s="91"/>
      <c r="I936" s="91"/>
      <c r="J936" s="91"/>
      <c r="K936" s="91"/>
      <c r="L936" s="91"/>
      <c r="M936" s="91"/>
      <c r="N936" s="91"/>
      <c r="O936" s="91"/>
      <c r="P936" s="91"/>
      <c r="Q936" s="91"/>
      <c r="R936" s="180"/>
      <c r="S936" s="178"/>
      <c r="T936" s="218"/>
      <c r="U936" s="217"/>
      <c r="V936" s="185"/>
      <c r="W936" s="186"/>
      <c r="X936" s="46"/>
    </row>
    <row r="937" spans="1:24" x14ac:dyDescent="0.2">
      <c r="A937" s="191" t="s">
        <v>44</v>
      </c>
      <c r="B937" s="91">
        <v>0</v>
      </c>
      <c r="C937" s="91">
        <v>3261257</v>
      </c>
      <c r="D937" s="91">
        <v>5833647</v>
      </c>
      <c r="E937" s="91">
        <v>0</v>
      </c>
      <c r="F937" s="91">
        <v>2685877</v>
      </c>
      <c r="G937" s="180">
        <f>SUM(B937:F937)</f>
        <v>11780781</v>
      </c>
      <c r="H937" s="91"/>
      <c r="I937" s="91">
        <v>0</v>
      </c>
      <c r="J937" s="91">
        <v>0</v>
      </c>
      <c r="K937" s="91">
        <v>1390041</v>
      </c>
      <c r="L937" s="91">
        <v>1306950</v>
      </c>
      <c r="M937" s="91">
        <v>2188964</v>
      </c>
      <c r="N937" s="91">
        <v>561347</v>
      </c>
      <c r="O937" s="91">
        <v>1743356</v>
      </c>
      <c r="P937" s="91">
        <v>299550</v>
      </c>
      <c r="Q937" s="91">
        <v>0</v>
      </c>
      <c r="R937" s="180">
        <f>SUM(I937:Q937)</f>
        <v>7490208</v>
      </c>
      <c r="S937" s="180">
        <v>6589032</v>
      </c>
      <c r="T937" s="91">
        <v>1842220</v>
      </c>
      <c r="U937" s="86">
        <f>S937-6285000</f>
        <v>304032</v>
      </c>
      <c r="V937" s="86">
        <v>0</v>
      </c>
      <c r="W937" s="186">
        <f>R937+G937+S937+T937</f>
        <v>27702241</v>
      </c>
      <c r="X937" s="46"/>
    </row>
    <row r="938" spans="1:24" x14ac:dyDescent="0.2">
      <c r="A938" s="191" t="s">
        <v>42</v>
      </c>
      <c r="B938" s="91">
        <f t="shared" ref="B938:G938" si="423">B935+B937-B890</f>
        <v>235200</v>
      </c>
      <c r="C938" s="91">
        <f t="shared" si="423"/>
        <v>21312130.546999995</v>
      </c>
      <c r="D938" s="91">
        <f t="shared" si="423"/>
        <v>59509723.999999985</v>
      </c>
      <c r="E938" s="91">
        <f t="shared" si="423"/>
        <v>35907823.424000055</v>
      </c>
      <c r="F938" s="91">
        <f t="shared" si="423"/>
        <v>31408136.497000009</v>
      </c>
      <c r="G938" s="180">
        <f t="shared" si="423"/>
        <v>148373014.46800005</v>
      </c>
      <c r="H938" s="91"/>
      <c r="I938" s="91">
        <f t="shared" ref="I938:W938" si="424">I935+I937-I890</f>
        <v>32364000</v>
      </c>
      <c r="J938" s="91">
        <f t="shared" si="424"/>
        <v>17746539</v>
      </c>
      <c r="K938" s="91">
        <f t="shared" si="424"/>
        <v>10011648</v>
      </c>
      <c r="L938" s="91">
        <f t="shared" si="424"/>
        <v>9567544</v>
      </c>
      <c r="M938" s="91">
        <f t="shared" si="424"/>
        <v>27862803</v>
      </c>
      <c r="N938" s="91">
        <f t="shared" si="424"/>
        <v>7723768</v>
      </c>
      <c r="O938" s="91">
        <f t="shared" si="424"/>
        <v>9980549</v>
      </c>
      <c r="P938" s="91">
        <f t="shared" si="424"/>
        <v>13324238</v>
      </c>
      <c r="Q938" s="91">
        <f t="shared" si="424"/>
        <v>1137400</v>
      </c>
      <c r="R938" s="180">
        <f t="shared" si="424"/>
        <v>129718489</v>
      </c>
      <c r="S938" s="180">
        <f t="shared" si="424"/>
        <v>112506012.12499997</v>
      </c>
      <c r="T938" s="215">
        <f t="shared" si="424"/>
        <v>37811357.542999983</v>
      </c>
      <c r="U938" s="86">
        <f t="shared" si="424"/>
        <v>4416012.1249999991</v>
      </c>
      <c r="V938" s="86">
        <f t="shared" si="424"/>
        <v>2237190</v>
      </c>
      <c r="W938" s="186">
        <f t="shared" si="424"/>
        <v>428408873.13600016</v>
      </c>
      <c r="X938" s="46">
        <f>X935+W937</f>
        <v>9237090228.4379997</v>
      </c>
    </row>
    <row r="939" spans="1:24" x14ac:dyDescent="0.2">
      <c r="A939" s="191"/>
      <c r="B939" s="52"/>
      <c r="C939" s="52"/>
      <c r="D939" s="52"/>
      <c r="E939" s="52"/>
      <c r="F939" s="52"/>
      <c r="G939" s="180"/>
      <c r="H939" s="91"/>
      <c r="I939" s="52"/>
      <c r="J939" s="52"/>
      <c r="K939" s="52"/>
      <c r="L939" s="52"/>
      <c r="M939" s="52"/>
      <c r="N939" s="52"/>
      <c r="O939" s="52"/>
      <c r="P939" s="52"/>
      <c r="Q939" s="52"/>
      <c r="R939" s="180"/>
      <c r="S939" s="178"/>
      <c r="T939" s="218"/>
      <c r="U939" s="217"/>
      <c r="V939" s="185"/>
      <c r="W939" s="186"/>
      <c r="X939" s="46"/>
    </row>
    <row r="940" spans="1:24" x14ac:dyDescent="0.2">
      <c r="A940" s="191" t="s">
        <v>45</v>
      </c>
      <c r="B940" s="91">
        <v>0</v>
      </c>
      <c r="C940" s="91">
        <v>2831855</v>
      </c>
      <c r="D940" s="91">
        <v>4764163</v>
      </c>
      <c r="E940" s="91">
        <v>1422128</v>
      </c>
      <c r="F940" s="91">
        <v>2964101</v>
      </c>
      <c r="G940" s="180">
        <f>SUM(B940:F940)</f>
        <v>11982247</v>
      </c>
      <c r="H940" s="91"/>
      <c r="I940" s="91">
        <v>972000</v>
      </c>
      <c r="J940" s="91">
        <v>0</v>
      </c>
      <c r="K940" s="91">
        <v>1572650</v>
      </c>
      <c r="L940" s="91">
        <v>1527309</v>
      </c>
      <c r="M940" s="91">
        <v>1838947</v>
      </c>
      <c r="N940" s="91">
        <v>681373</v>
      </c>
      <c r="O940" s="91">
        <v>1774875</v>
      </c>
      <c r="P940" s="91">
        <v>571976</v>
      </c>
      <c r="Q940" s="91">
        <v>0</v>
      </c>
      <c r="R940" s="180">
        <f>SUM(I940:Q940)</f>
        <v>8939130</v>
      </c>
      <c r="S940" s="180">
        <v>6001869.8080000002</v>
      </c>
      <c r="T940" s="91">
        <v>2613709.1490000002</v>
      </c>
      <c r="U940" s="86">
        <f>S940-5617000</f>
        <v>384869.80800000019</v>
      </c>
      <c r="V940" s="86">
        <v>0</v>
      </c>
      <c r="W940" s="186">
        <f>R940+G940+S940+T940</f>
        <v>29536955.956999999</v>
      </c>
      <c r="X940" s="46"/>
    </row>
    <row r="941" spans="1:24" x14ac:dyDescent="0.2">
      <c r="A941" s="191" t="s">
        <v>42</v>
      </c>
      <c r="B941" s="91">
        <f t="shared" ref="B941:G941" si="425">B938+B940-B893</f>
        <v>235200</v>
      </c>
      <c r="C941" s="91">
        <f t="shared" si="425"/>
        <v>21768795.546999995</v>
      </c>
      <c r="D941" s="91">
        <f t="shared" si="425"/>
        <v>61802719.999999985</v>
      </c>
      <c r="E941" s="91">
        <f t="shared" si="425"/>
        <v>32855023.424000055</v>
      </c>
      <c r="F941" s="91">
        <f t="shared" si="425"/>
        <v>31932478.497000009</v>
      </c>
      <c r="G941" s="180">
        <f t="shared" si="425"/>
        <v>148594217.46800005</v>
      </c>
      <c r="H941" s="91"/>
      <c r="I941" s="91">
        <f t="shared" ref="I941:W941" si="426">I938+I940-I893</f>
        <v>27936000</v>
      </c>
      <c r="J941" s="91">
        <f t="shared" si="426"/>
        <v>13835535</v>
      </c>
      <c r="K941" s="91">
        <f t="shared" si="426"/>
        <v>9973543</v>
      </c>
      <c r="L941" s="91">
        <f t="shared" si="426"/>
        <v>9524487</v>
      </c>
      <c r="M941" s="91">
        <f t="shared" si="426"/>
        <v>26413794</v>
      </c>
      <c r="N941" s="91">
        <f t="shared" si="426"/>
        <v>7721421</v>
      </c>
      <c r="O941" s="91">
        <f t="shared" si="426"/>
        <v>11755424</v>
      </c>
      <c r="P941" s="91">
        <f t="shared" si="426"/>
        <v>13808060</v>
      </c>
      <c r="Q941" s="91">
        <f t="shared" si="426"/>
        <v>0</v>
      </c>
      <c r="R941" s="180">
        <f t="shared" si="426"/>
        <v>120968264</v>
      </c>
      <c r="S941" s="180">
        <f t="shared" si="426"/>
        <v>107172856.93299997</v>
      </c>
      <c r="T941" s="215">
        <f t="shared" si="426"/>
        <v>39131222.13499999</v>
      </c>
      <c r="U941" s="86">
        <f t="shared" si="426"/>
        <v>4279856.9329999993</v>
      </c>
      <c r="V941" s="86">
        <f t="shared" si="426"/>
        <v>2237190</v>
      </c>
      <c r="W941" s="186">
        <f t="shared" si="426"/>
        <v>415866560.53600019</v>
      </c>
      <c r="X941" s="46">
        <f>X938+W940</f>
        <v>9266627184.3950005</v>
      </c>
    </row>
    <row r="942" spans="1:24" x14ac:dyDescent="0.2">
      <c r="A942" s="191"/>
      <c r="B942" s="52"/>
      <c r="C942" s="52"/>
      <c r="D942" s="52"/>
      <c r="E942" s="52"/>
      <c r="F942" s="52"/>
      <c r="G942" s="180"/>
      <c r="H942" s="91"/>
      <c r="I942" s="52"/>
      <c r="J942" s="52"/>
      <c r="K942" s="52"/>
      <c r="L942" s="52"/>
      <c r="M942" s="52"/>
      <c r="N942" s="52"/>
      <c r="O942" s="52"/>
      <c r="P942" s="52"/>
      <c r="Q942" s="52"/>
      <c r="R942" s="180"/>
      <c r="S942" s="180"/>
      <c r="T942" s="44"/>
      <c r="U942" s="86"/>
      <c r="V942" s="186"/>
      <c r="W942" s="186"/>
      <c r="X942" s="46"/>
    </row>
    <row r="943" spans="1:24" x14ac:dyDescent="0.2">
      <c r="A943" s="191" t="s">
        <v>46</v>
      </c>
      <c r="B943" s="91">
        <v>0</v>
      </c>
      <c r="C943" s="91">
        <v>3600105</v>
      </c>
      <c r="D943" s="91">
        <v>4494876</v>
      </c>
      <c r="E943" s="91">
        <v>2637645</v>
      </c>
      <c r="F943" s="91">
        <v>1785183</v>
      </c>
      <c r="G943" s="180">
        <f>SUM(B943:F943)</f>
        <v>12517809</v>
      </c>
      <c r="H943" s="91"/>
      <c r="I943" s="91">
        <v>0</v>
      </c>
      <c r="J943" s="91">
        <v>0</v>
      </c>
      <c r="K943" s="91">
        <v>1593710</v>
      </c>
      <c r="L943" s="91">
        <v>1450451</v>
      </c>
      <c r="M943" s="91">
        <v>902298</v>
      </c>
      <c r="N943" s="91">
        <v>712408</v>
      </c>
      <c r="O943" s="91">
        <v>1733261</v>
      </c>
      <c r="P943" s="91">
        <v>1990124</v>
      </c>
      <c r="Q943" s="91">
        <v>0</v>
      </c>
      <c r="R943" s="180">
        <f>SUM(I943:Q943)</f>
        <v>8382252</v>
      </c>
      <c r="S943" s="180">
        <v>7505159.3049999997</v>
      </c>
      <c r="T943" s="91">
        <v>5291344.3820000002</v>
      </c>
      <c r="U943" s="86">
        <f>S943-7063000</f>
        <v>442159.3049999997</v>
      </c>
      <c r="V943" s="86">
        <v>0</v>
      </c>
      <c r="W943" s="186">
        <f>R943+G943+S943+T943</f>
        <v>33696564.686999999</v>
      </c>
      <c r="X943" s="46"/>
    </row>
    <row r="944" spans="1:24" x14ac:dyDescent="0.2">
      <c r="A944" s="191" t="s">
        <v>42</v>
      </c>
      <c r="B944" s="91">
        <f t="shared" ref="B944:G944" si="427">B941+B943-B896</f>
        <v>100800</v>
      </c>
      <c r="C944" s="91">
        <f t="shared" si="427"/>
        <v>25368900.546999995</v>
      </c>
      <c r="D944" s="91">
        <f t="shared" si="427"/>
        <v>60914387.999999985</v>
      </c>
      <c r="E944" s="91">
        <f t="shared" si="427"/>
        <v>30394346.424000055</v>
      </c>
      <c r="F944" s="91">
        <f t="shared" si="427"/>
        <v>30670267.497000009</v>
      </c>
      <c r="G944" s="180">
        <f t="shared" si="427"/>
        <v>147448702.46800005</v>
      </c>
      <c r="H944" s="91"/>
      <c r="I944" s="91">
        <f t="shared" ref="I944:W944" si="428">I941+I943-I896</f>
        <v>22584000</v>
      </c>
      <c r="J944" s="91">
        <f t="shared" si="428"/>
        <v>9734135</v>
      </c>
      <c r="K944" s="91">
        <f t="shared" si="428"/>
        <v>11567253</v>
      </c>
      <c r="L944" s="91">
        <f t="shared" si="428"/>
        <v>10974938</v>
      </c>
      <c r="M944" s="91">
        <f t="shared" si="428"/>
        <v>23817069</v>
      </c>
      <c r="N944" s="91">
        <f t="shared" si="428"/>
        <v>7657945</v>
      </c>
      <c r="O944" s="91">
        <f t="shared" si="428"/>
        <v>13488685</v>
      </c>
      <c r="P944" s="91">
        <f t="shared" si="428"/>
        <v>15798184</v>
      </c>
      <c r="Q944" s="91">
        <f t="shared" si="428"/>
        <v>0</v>
      </c>
      <c r="R944" s="180">
        <f t="shared" si="428"/>
        <v>115622209</v>
      </c>
      <c r="S944" s="180">
        <f t="shared" si="428"/>
        <v>102744925.23799998</v>
      </c>
      <c r="T944" s="215">
        <f t="shared" si="428"/>
        <v>41803431.105999991</v>
      </c>
      <c r="U944" s="86">
        <f t="shared" si="428"/>
        <v>4314925.237999999</v>
      </c>
      <c r="V944" s="86">
        <f t="shared" si="428"/>
        <v>2237190</v>
      </c>
      <c r="W944" s="186">
        <f t="shared" si="428"/>
        <v>407619267.81200016</v>
      </c>
      <c r="X944" s="46">
        <f>X941+W943</f>
        <v>9300323749.0820007</v>
      </c>
    </row>
    <row r="945" spans="1:24" x14ac:dyDescent="0.2">
      <c r="A945" s="191"/>
      <c r="B945" s="52"/>
      <c r="C945" s="52"/>
      <c r="D945" s="52"/>
      <c r="E945" s="52"/>
      <c r="F945" s="52"/>
      <c r="G945" s="180"/>
      <c r="H945" s="91"/>
      <c r="I945" s="52"/>
      <c r="J945" s="52"/>
      <c r="K945" s="52"/>
      <c r="L945" s="52"/>
      <c r="M945" s="52"/>
      <c r="N945" s="52"/>
      <c r="O945" s="52"/>
      <c r="P945" s="52"/>
      <c r="Q945" s="52"/>
      <c r="R945" s="180"/>
      <c r="S945" s="180"/>
      <c r="T945" s="44"/>
      <c r="U945" s="86"/>
      <c r="V945" s="186"/>
      <c r="W945" s="186"/>
      <c r="X945" s="46"/>
    </row>
    <row r="946" spans="1:24" x14ac:dyDescent="0.2">
      <c r="A946" s="191" t="s">
        <v>47</v>
      </c>
      <c r="B946" s="91">
        <v>0</v>
      </c>
      <c r="C946" s="91">
        <v>3443378</v>
      </c>
      <c r="D946" s="91">
        <v>5507222</v>
      </c>
      <c r="E946" s="91">
        <v>6150094</v>
      </c>
      <c r="F946" s="91">
        <v>3026937</v>
      </c>
      <c r="G946" s="180">
        <f>SUM(B946:F946)</f>
        <v>18127631</v>
      </c>
      <c r="H946" s="91"/>
      <c r="I946" s="91">
        <v>408000</v>
      </c>
      <c r="J946" s="91">
        <v>0</v>
      </c>
      <c r="K946" s="91">
        <v>1765158</v>
      </c>
      <c r="L946" s="91">
        <v>1723037</v>
      </c>
      <c r="M946" s="91">
        <v>1549166</v>
      </c>
      <c r="N946" s="91">
        <v>210546</v>
      </c>
      <c r="O946" s="91">
        <v>1262069</v>
      </c>
      <c r="P946" s="91">
        <v>2831067</v>
      </c>
      <c r="Q946" s="91">
        <v>0</v>
      </c>
      <c r="R946" s="180">
        <f>SUM(I946:Q946)</f>
        <v>9749043</v>
      </c>
      <c r="S946" s="180">
        <v>8248020</v>
      </c>
      <c r="T946" s="91">
        <v>117.2992</v>
      </c>
      <c r="U946" s="86">
        <f>S946-7749000</f>
        <v>499020</v>
      </c>
      <c r="V946" s="86">
        <v>0</v>
      </c>
      <c r="W946" s="186">
        <f>R946+G946+S946+T946</f>
        <v>36124811.299199998</v>
      </c>
      <c r="X946" s="247" t="s">
        <v>60</v>
      </c>
    </row>
    <row r="947" spans="1:24" x14ac:dyDescent="0.2">
      <c r="A947" s="191" t="s">
        <v>42</v>
      </c>
      <c r="B947" s="91">
        <f t="shared" ref="B947:G947" si="429">B944+B946-B899</f>
        <v>14400</v>
      </c>
      <c r="C947" s="91">
        <f t="shared" si="429"/>
        <v>28812278.546999995</v>
      </c>
      <c r="D947" s="91">
        <f t="shared" si="429"/>
        <v>61688585.999999985</v>
      </c>
      <c r="E947" s="91">
        <f t="shared" si="429"/>
        <v>29974201.424000055</v>
      </c>
      <c r="F947" s="91">
        <f t="shared" si="429"/>
        <v>30654232.497000009</v>
      </c>
      <c r="G947" s="180">
        <f t="shared" si="429"/>
        <v>151143698.46800005</v>
      </c>
      <c r="H947" s="91"/>
      <c r="I947" s="91">
        <f t="shared" ref="I947:W947" si="430">I944+I946-I899</f>
        <v>17556000</v>
      </c>
      <c r="J947" s="91">
        <f t="shared" si="430"/>
        <v>5872633</v>
      </c>
      <c r="K947" s="91">
        <f t="shared" si="430"/>
        <v>13332411</v>
      </c>
      <c r="L947" s="91">
        <f t="shared" si="430"/>
        <v>12697975</v>
      </c>
      <c r="M947" s="91">
        <f t="shared" si="430"/>
        <v>22511956</v>
      </c>
      <c r="N947" s="91">
        <f t="shared" si="430"/>
        <v>7104120</v>
      </c>
      <c r="O947" s="91">
        <f t="shared" si="430"/>
        <v>14750754</v>
      </c>
      <c r="P947" s="91">
        <f t="shared" si="430"/>
        <v>18629251</v>
      </c>
      <c r="Q947" s="91">
        <f t="shared" si="430"/>
        <v>0</v>
      </c>
      <c r="R947" s="180">
        <f t="shared" si="430"/>
        <v>112455100</v>
      </c>
      <c r="S947" s="180">
        <f t="shared" si="430"/>
        <v>100684913.23799998</v>
      </c>
      <c r="T947" s="215">
        <f t="shared" si="430"/>
        <v>40647059.40519999</v>
      </c>
      <c r="U947" s="86">
        <f t="shared" si="430"/>
        <v>4481913.237999999</v>
      </c>
      <c r="V947" s="86">
        <f t="shared" si="430"/>
        <v>2237190</v>
      </c>
      <c r="W947" s="186">
        <f t="shared" si="430"/>
        <v>404930771.11120015</v>
      </c>
      <c r="X947" s="46">
        <f>X944+W946</f>
        <v>9336448560.3812008</v>
      </c>
    </row>
    <row r="948" spans="1:24" x14ac:dyDescent="0.2">
      <c r="A948" s="191"/>
      <c r="B948" s="52"/>
      <c r="C948" s="52"/>
      <c r="D948" s="52"/>
      <c r="E948" s="52"/>
      <c r="F948" s="52"/>
      <c r="G948" s="180"/>
      <c r="H948" s="91"/>
      <c r="I948" s="52"/>
      <c r="J948" s="52"/>
      <c r="K948" s="52"/>
      <c r="L948" s="52"/>
      <c r="M948" s="52"/>
      <c r="N948" s="52"/>
      <c r="O948" s="52"/>
      <c r="P948" s="52"/>
      <c r="Q948" s="52"/>
      <c r="R948" s="180"/>
      <c r="S948" s="180" t="s">
        <v>105</v>
      </c>
      <c r="T948" s="44"/>
      <c r="U948" s="86"/>
      <c r="V948" s="186"/>
      <c r="W948" s="186"/>
      <c r="X948" s="46"/>
    </row>
    <row r="949" spans="1:24" x14ac:dyDescent="0.2">
      <c r="A949" s="191" t="s">
        <v>48</v>
      </c>
      <c r="B949" s="91">
        <v>0</v>
      </c>
      <c r="C949" s="91">
        <v>3545173</v>
      </c>
      <c r="D949" s="91">
        <v>5467772</v>
      </c>
      <c r="E949" s="91">
        <v>4558024</v>
      </c>
      <c r="F949" s="91">
        <v>2939569</v>
      </c>
      <c r="G949" s="180">
        <f>SUM(B949:F949)</f>
        <v>16510538</v>
      </c>
      <c r="H949" s="91"/>
      <c r="I949" s="91">
        <v>1608000</v>
      </c>
      <c r="J949" s="91">
        <v>0</v>
      </c>
      <c r="K949" s="91">
        <v>1565620</v>
      </c>
      <c r="L949" s="91">
        <v>1589309</v>
      </c>
      <c r="M949" s="91">
        <v>2596310</v>
      </c>
      <c r="N949" s="91">
        <v>823586</v>
      </c>
      <c r="O949" s="91">
        <v>1437889</v>
      </c>
      <c r="P949" s="91">
        <v>2439464</v>
      </c>
      <c r="Q949" s="91">
        <v>0</v>
      </c>
      <c r="R949" s="180">
        <f>SUM(I949:Q949)</f>
        <v>12060178</v>
      </c>
      <c r="S949" s="180">
        <v>7291849.5130000003</v>
      </c>
      <c r="T949" s="91">
        <v>744904.52500000002</v>
      </c>
      <c r="U949" s="86">
        <f>S949-6792000</f>
        <v>499849.51300000027</v>
      </c>
      <c r="V949" s="86">
        <v>0</v>
      </c>
      <c r="W949" s="186">
        <f>R949+G949+S949+T949</f>
        <v>36607470.037999995</v>
      </c>
      <c r="X949" s="46"/>
    </row>
    <row r="950" spans="1:24" x14ac:dyDescent="0.2">
      <c r="A950" s="191" t="s">
        <v>42</v>
      </c>
      <c r="B950" s="91">
        <f t="shared" ref="B950:G950" si="431">B947+B949-B902</f>
        <v>14400</v>
      </c>
      <c r="C950" s="91">
        <f t="shared" si="431"/>
        <v>32357451.546999995</v>
      </c>
      <c r="D950" s="91">
        <f t="shared" si="431"/>
        <v>63030427.999999985</v>
      </c>
      <c r="E950" s="91">
        <f t="shared" si="431"/>
        <v>30093912.424000055</v>
      </c>
      <c r="F950" s="91">
        <f t="shared" si="431"/>
        <v>30357624.497000009</v>
      </c>
      <c r="G950" s="180">
        <f t="shared" si="431"/>
        <v>155853816.46800005</v>
      </c>
      <c r="H950" s="91"/>
      <c r="I950" s="91">
        <f t="shared" ref="I950:W950" si="432">I947+I949-I902</f>
        <v>13152000</v>
      </c>
      <c r="J950" s="91">
        <f t="shared" si="432"/>
        <v>1682607</v>
      </c>
      <c r="K950" s="91">
        <f t="shared" si="432"/>
        <v>14898031</v>
      </c>
      <c r="L950" s="91">
        <f t="shared" si="432"/>
        <v>14287284</v>
      </c>
      <c r="M950" s="91">
        <f t="shared" si="432"/>
        <v>22229444</v>
      </c>
      <c r="N950" s="91">
        <f t="shared" si="432"/>
        <v>7145252</v>
      </c>
      <c r="O950" s="91">
        <f t="shared" si="432"/>
        <v>16188643</v>
      </c>
      <c r="P950" s="91">
        <f t="shared" si="432"/>
        <v>20674203</v>
      </c>
      <c r="Q950" s="91">
        <f t="shared" si="432"/>
        <v>0</v>
      </c>
      <c r="R950" s="180">
        <f t="shared" si="432"/>
        <v>110257464</v>
      </c>
      <c r="S950" s="180">
        <f t="shared" si="432"/>
        <v>91460391.750999972</v>
      </c>
      <c r="T950" s="215">
        <f t="shared" si="432"/>
        <v>36259909.73619999</v>
      </c>
      <c r="U950" s="86">
        <f t="shared" si="432"/>
        <v>4435391.7509999992</v>
      </c>
      <c r="V950" s="86">
        <f t="shared" si="432"/>
        <v>2237190</v>
      </c>
      <c r="W950" s="186">
        <f t="shared" si="432"/>
        <v>393831581.95520014</v>
      </c>
      <c r="X950" s="46">
        <f>X947+W949</f>
        <v>9373056030.4192009</v>
      </c>
    </row>
    <row r="951" spans="1:24" x14ac:dyDescent="0.2">
      <c r="A951" s="191"/>
      <c r="B951" s="52"/>
      <c r="C951" s="52"/>
      <c r="D951" s="52"/>
      <c r="E951" s="52"/>
      <c r="F951" s="52"/>
      <c r="G951" s="180"/>
      <c r="H951" s="91"/>
      <c r="I951" s="52"/>
      <c r="J951" s="52"/>
      <c r="K951" s="52"/>
      <c r="L951" s="52"/>
      <c r="M951" s="52"/>
      <c r="N951" s="52"/>
      <c r="O951" s="52"/>
      <c r="P951" s="52"/>
      <c r="Q951" s="52"/>
      <c r="R951" s="180"/>
      <c r="S951" s="180"/>
      <c r="T951" s="44"/>
      <c r="U951" s="86"/>
      <c r="V951" s="186"/>
      <c r="W951" s="186"/>
      <c r="X951" s="46"/>
    </row>
    <row r="952" spans="1:24" x14ac:dyDescent="0.2">
      <c r="A952" s="191" t="s">
        <v>49</v>
      </c>
      <c r="B952" s="91">
        <v>0</v>
      </c>
      <c r="C952" s="91">
        <v>3435857</v>
      </c>
      <c r="D952" s="91">
        <v>5510741</v>
      </c>
      <c r="E952" s="91">
        <v>4566296</v>
      </c>
      <c r="F952" s="91">
        <v>3024028</v>
      </c>
      <c r="G952" s="180">
        <f>SUM(B952:F952)</f>
        <v>16536922</v>
      </c>
      <c r="H952" s="91"/>
      <c r="I952" s="91">
        <v>1608000</v>
      </c>
      <c r="J952" s="91">
        <v>0</v>
      </c>
      <c r="K952" s="91">
        <v>1586245</v>
      </c>
      <c r="L952" s="91">
        <v>1590070</v>
      </c>
      <c r="M952" s="91">
        <v>1350945</v>
      </c>
      <c r="N952" s="91">
        <v>818789</v>
      </c>
      <c r="O952" s="91">
        <v>1405624</v>
      </c>
      <c r="P952" s="91">
        <v>1792099</v>
      </c>
      <c r="Q952" s="91">
        <v>0</v>
      </c>
      <c r="R952" s="180">
        <f>SUM(I952:Q952)</f>
        <v>10151772</v>
      </c>
      <c r="S952" s="180">
        <v>7310070</v>
      </c>
      <c r="T952" s="91">
        <v>3015679</v>
      </c>
      <c r="U952" s="86">
        <f>S952-6847000</f>
        <v>463070</v>
      </c>
      <c r="V952" s="86">
        <v>0</v>
      </c>
      <c r="W952" s="186">
        <f>R952+G952+S952+T952</f>
        <v>37014443</v>
      </c>
      <c r="X952" s="46"/>
    </row>
    <row r="953" spans="1:24" x14ac:dyDescent="0.2">
      <c r="A953" s="191" t="s">
        <v>42</v>
      </c>
      <c r="B953" s="91">
        <f t="shared" ref="B953:G953" si="433">B950+B952-B905</f>
        <v>14400</v>
      </c>
      <c r="C953" s="91">
        <f t="shared" si="433"/>
        <v>33727790.546999991</v>
      </c>
      <c r="D953" s="91">
        <f t="shared" si="433"/>
        <v>63422763.999999985</v>
      </c>
      <c r="E953" s="91">
        <f t="shared" si="433"/>
        <v>30050429.424000055</v>
      </c>
      <c r="F953" s="91">
        <f t="shared" si="433"/>
        <v>30722421.497000009</v>
      </c>
      <c r="G953" s="180">
        <f t="shared" si="433"/>
        <v>157937805.46800005</v>
      </c>
      <c r="H953" s="91"/>
      <c r="I953" s="91">
        <f t="shared" ref="I953:W953" si="434">I950+I952-I905</f>
        <v>11520000</v>
      </c>
      <c r="J953" s="91">
        <f t="shared" si="434"/>
        <v>0</v>
      </c>
      <c r="K953" s="91">
        <f t="shared" si="434"/>
        <v>15206363</v>
      </c>
      <c r="L953" s="91">
        <f t="shared" si="434"/>
        <v>14749532</v>
      </c>
      <c r="M953" s="91">
        <f t="shared" si="434"/>
        <v>20431171</v>
      </c>
      <c r="N953" s="91">
        <f t="shared" si="434"/>
        <v>7172208</v>
      </c>
      <c r="O953" s="91">
        <f t="shared" si="434"/>
        <v>17056292</v>
      </c>
      <c r="P953" s="91">
        <f t="shared" si="434"/>
        <v>22466302</v>
      </c>
      <c r="Q953" s="91">
        <f t="shared" si="434"/>
        <v>0</v>
      </c>
      <c r="R953" s="180">
        <f t="shared" si="434"/>
        <v>108601868</v>
      </c>
      <c r="S953" s="180">
        <f t="shared" si="434"/>
        <v>84897899.750999972</v>
      </c>
      <c r="T953" s="215">
        <f t="shared" si="434"/>
        <v>39275588.73619999</v>
      </c>
      <c r="U953" s="86">
        <f t="shared" si="434"/>
        <v>4473899.7509999992</v>
      </c>
      <c r="V953" s="86">
        <f t="shared" si="434"/>
        <v>2237190</v>
      </c>
      <c r="W953" s="186">
        <f t="shared" si="434"/>
        <v>390713161.95520014</v>
      </c>
      <c r="X953" s="46">
        <f>X950+W952</f>
        <v>9410070473.4192009</v>
      </c>
    </row>
    <row r="954" spans="1:24" x14ac:dyDescent="0.2">
      <c r="A954" s="191"/>
      <c r="B954" s="52"/>
      <c r="C954" s="52"/>
      <c r="D954" s="52"/>
      <c r="E954" s="52"/>
      <c r="F954" s="52"/>
      <c r="G954" s="180"/>
      <c r="H954" s="91"/>
      <c r="I954" s="52"/>
      <c r="J954" s="52"/>
      <c r="K954" s="52"/>
      <c r="L954" s="52"/>
      <c r="M954" s="52"/>
      <c r="N954" s="52"/>
      <c r="O954" s="52"/>
      <c r="P954" s="52"/>
      <c r="Q954" s="52"/>
      <c r="R954" s="180"/>
      <c r="S954" s="180"/>
      <c r="T954" s="44"/>
      <c r="U954" s="86"/>
      <c r="V954" s="186"/>
      <c r="W954" s="186"/>
      <c r="X954" s="46"/>
    </row>
    <row r="955" spans="1:24" x14ac:dyDescent="0.2">
      <c r="A955" s="191" t="s">
        <v>50</v>
      </c>
      <c r="B955" s="91">
        <v>0</v>
      </c>
      <c r="C955" s="91">
        <v>3149338</v>
      </c>
      <c r="D955" s="91">
        <v>5154473</v>
      </c>
      <c r="E955" s="91">
        <v>3433573</v>
      </c>
      <c r="F955" s="91">
        <v>2483361</v>
      </c>
      <c r="G955" s="180">
        <f>SUM(B955:F955)</f>
        <v>14220745</v>
      </c>
      <c r="H955" s="91"/>
      <c r="I955" s="91">
        <v>1560000</v>
      </c>
      <c r="J955" s="91">
        <v>0</v>
      </c>
      <c r="K955" s="91">
        <v>1532214</v>
      </c>
      <c r="L955" s="91">
        <v>1571787</v>
      </c>
      <c r="M955" s="91">
        <v>0</v>
      </c>
      <c r="N955" s="91">
        <v>779427</v>
      </c>
      <c r="O955" s="91">
        <v>1200536</v>
      </c>
      <c r="P955" s="91">
        <v>2048257</v>
      </c>
      <c r="Q955" s="91">
        <v>0</v>
      </c>
      <c r="R955" s="180">
        <f>SUM(I955:Q955)</f>
        <v>8692221</v>
      </c>
      <c r="S955" s="180">
        <v>5931682.8377999999</v>
      </c>
      <c r="T955" s="91">
        <v>4529613.6289999997</v>
      </c>
      <c r="U955" s="86">
        <f>S955-5538000</f>
        <v>393682.83779999986</v>
      </c>
      <c r="V955" s="86">
        <v>0</v>
      </c>
      <c r="W955" s="186">
        <f>R955+G955+S955+T955</f>
        <v>33374262.466800001</v>
      </c>
      <c r="X955" s="46"/>
    </row>
    <row r="956" spans="1:24" x14ac:dyDescent="0.2">
      <c r="A956" s="191" t="s">
        <v>42</v>
      </c>
      <c r="B956" s="91">
        <f t="shared" ref="B956:G956" si="435">B953+B955-B908</f>
        <v>14400</v>
      </c>
      <c r="C956" s="91">
        <f t="shared" si="435"/>
        <v>33634970.999999993</v>
      </c>
      <c r="D956" s="91">
        <f t="shared" si="435"/>
        <v>62856094.999999985</v>
      </c>
      <c r="E956" s="91">
        <f t="shared" si="435"/>
        <v>29179981.000000056</v>
      </c>
      <c r="F956" s="91">
        <f t="shared" si="435"/>
        <v>30646819.000000007</v>
      </c>
      <c r="G956" s="180">
        <f t="shared" si="435"/>
        <v>156332266.00000006</v>
      </c>
      <c r="H956" s="91"/>
      <c r="I956" s="91">
        <f t="shared" ref="I956:W956" si="436">I953+I955-I908</f>
        <v>11724000</v>
      </c>
      <c r="J956" s="91">
        <f t="shared" si="436"/>
        <v>0</v>
      </c>
      <c r="K956" s="91">
        <f t="shared" si="436"/>
        <v>15073889</v>
      </c>
      <c r="L956" s="91">
        <f t="shared" si="436"/>
        <v>14723096</v>
      </c>
      <c r="M956" s="91">
        <f t="shared" si="436"/>
        <v>17453154</v>
      </c>
      <c r="N956" s="91">
        <f t="shared" si="436"/>
        <v>7260549</v>
      </c>
      <c r="O956" s="91">
        <f t="shared" si="436"/>
        <v>16517457</v>
      </c>
      <c r="P956" s="91">
        <f t="shared" si="436"/>
        <v>22853043</v>
      </c>
      <c r="Q956" s="91">
        <f t="shared" si="436"/>
        <v>0</v>
      </c>
      <c r="R956" s="180">
        <f t="shared" si="436"/>
        <v>105605188</v>
      </c>
      <c r="S956" s="180">
        <f t="shared" si="436"/>
        <v>81231524.888799965</v>
      </c>
      <c r="T956" s="215">
        <f t="shared" si="436"/>
        <v>38661116.984199993</v>
      </c>
      <c r="U956" s="86">
        <f t="shared" si="436"/>
        <v>4401524.8887999998</v>
      </c>
      <c r="V956" s="86">
        <f t="shared" si="436"/>
        <v>2237190</v>
      </c>
      <c r="W956" s="186">
        <f t="shared" si="436"/>
        <v>381830095.87300014</v>
      </c>
      <c r="X956" s="46">
        <f>X953+W955</f>
        <v>9443444735.8860016</v>
      </c>
    </row>
    <row r="957" spans="1:24" x14ac:dyDescent="0.2">
      <c r="A957" s="191"/>
      <c r="B957" s="52"/>
      <c r="C957" s="52"/>
      <c r="D957" s="52"/>
      <c r="E957" s="52"/>
      <c r="F957" s="52"/>
      <c r="G957" s="180"/>
      <c r="H957" s="91"/>
      <c r="I957" s="52"/>
      <c r="J957" s="52"/>
      <c r="K957" s="52"/>
      <c r="L957" s="52"/>
      <c r="M957" s="52"/>
      <c r="N957" s="52"/>
      <c r="O957" s="52"/>
      <c r="P957" s="52"/>
      <c r="Q957" s="52"/>
      <c r="R957" s="180"/>
      <c r="S957" s="180"/>
      <c r="T957" s="44"/>
      <c r="U957" s="86"/>
      <c r="V957" s="186"/>
      <c r="W957" s="186"/>
      <c r="X957" s="46"/>
    </row>
    <row r="958" spans="1:24" x14ac:dyDescent="0.2">
      <c r="A958" s="191" t="s">
        <v>51</v>
      </c>
      <c r="B958" s="91">
        <v>0</v>
      </c>
      <c r="C958" s="91">
        <v>2341244</v>
      </c>
      <c r="D958" s="91">
        <v>4596587</v>
      </c>
      <c r="E958" s="91">
        <v>901934</v>
      </c>
      <c r="F958" s="91">
        <v>2779500</v>
      </c>
      <c r="G958" s="180">
        <f>SUM(B958:F958)</f>
        <v>10619265</v>
      </c>
      <c r="H958" s="91"/>
      <c r="I958" s="91">
        <v>24000</v>
      </c>
      <c r="J958" s="91">
        <v>0</v>
      </c>
      <c r="K958" s="91">
        <v>1794702</v>
      </c>
      <c r="L958" s="91">
        <v>1686679</v>
      </c>
      <c r="M958" s="91">
        <v>0</v>
      </c>
      <c r="N958" s="91">
        <v>802278</v>
      </c>
      <c r="O958" s="91">
        <v>1462619</v>
      </c>
      <c r="P958" s="91">
        <v>570643</v>
      </c>
      <c r="Q958" s="91">
        <v>0</v>
      </c>
      <c r="R958" s="180">
        <f>SUM(I958:Q958)</f>
        <v>6340921</v>
      </c>
      <c r="S958" s="180">
        <v>3202880</v>
      </c>
      <c r="T958" s="91">
        <v>4741958</v>
      </c>
      <c r="U958" s="86">
        <f>S958-2982000</f>
        <v>220880</v>
      </c>
      <c r="V958" s="86">
        <v>0</v>
      </c>
      <c r="W958" s="186">
        <f>R958+G958+S958+T958</f>
        <v>24905024</v>
      </c>
      <c r="X958" s="46"/>
    </row>
    <row r="959" spans="1:24" x14ac:dyDescent="0.2">
      <c r="A959" s="191" t="s">
        <v>42</v>
      </c>
      <c r="B959" s="91">
        <f t="shared" ref="B959:G959" si="437">B956+B958-B911</f>
        <v>14400</v>
      </c>
      <c r="C959" s="91">
        <f t="shared" si="437"/>
        <v>32847953.999999993</v>
      </c>
      <c r="D959" s="91">
        <f t="shared" si="437"/>
        <v>61611717.999999985</v>
      </c>
      <c r="E959" s="91">
        <f t="shared" si="437"/>
        <v>26267768.000000056</v>
      </c>
      <c r="F959" s="91">
        <f t="shared" si="437"/>
        <v>30870216.000000007</v>
      </c>
      <c r="G959" s="180">
        <f t="shared" si="437"/>
        <v>151612056.00000006</v>
      </c>
      <c r="H959" s="91"/>
      <c r="I959" s="91">
        <f t="shared" ref="I959:W959" si="438">I956+I958-I911</f>
        <v>10224000</v>
      </c>
      <c r="J959" s="91">
        <f t="shared" si="438"/>
        <v>0</v>
      </c>
      <c r="K959" s="91">
        <f t="shared" si="438"/>
        <v>15161024</v>
      </c>
      <c r="L959" s="91">
        <f t="shared" si="438"/>
        <v>14722595</v>
      </c>
      <c r="M959" s="91">
        <f t="shared" si="438"/>
        <v>15368678</v>
      </c>
      <c r="N959" s="91">
        <f t="shared" si="438"/>
        <v>7500103</v>
      </c>
      <c r="O959" s="91">
        <f t="shared" si="438"/>
        <v>16078093</v>
      </c>
      <c r="P959" s="91">
        <f t="shared" si="438"/>
        <v>22013917</v>
      </c>
      <c r="Q959" s="91">
        <f t="shared" si="438"/>
        <v>0</v>
      </c>
      <c r="R959" s="180">
        <f t="shared" si="438"/>
        <v>101068410</v>
      </c>
      <c r="S959" s="180">
        <f t="shared" si="438"/>
        <v>76559724.188799962</v>
      </c>
      <c r="T959" s="215">
        <f t="shared" si="438"/>
        <v>34062224.984199993</v>
      </c>
      <c r="U959" s="86">
        <f t="shared" si="438"/>
        <v>4264724.1887999997</v>
      </c>
      <c r="V959" s="86">
        <f t="shared" si="438"/>
        <v>2237190</v>
      </c>
      <c r="W959" s="186">
        <f t="shared" si="438"/>
        <v>363302415.17300016</v>
      </c>
      <c r="X959" s="46">
        <f>X956+W958</f>
        <v>9468349759.8860016</v>
      </c>
    </row>
    <row r="960" spans="1:24" x14ac:dyDescent="0.2">
      <c r="A960" s="191"/>
      <c r="B960" s="52"/>
      <c r="C960" s="52"/>
      <c r="D960" s="52"/>
      <c r="E960" s="52"/>
      <c r="F960" s="52"/>
      <c r="G960" s="180"/>
      <c r="H960" s="91"/>
      <c r="I960" s="52"/>
      <c r="J960" s="52"/>
      <c r="K960" s="52"/>
      <c r="L960" s="52"/>
      <c r="M960" s="52"/>
      <c r="N960" s="52"/>
      <c r="O960" s="52"/>
      <c r="P960" s="52"/>
      <c r="Q960" s="52"/>
      <c r="R960" s="180"/>
      <c r="S960" s="180"/>
      <c r="T960" s="44"/>
      <c r="U960" s="86"/>
      <c r="V960" s="186"/>
      <c r="W960" s="186"/>
      <c r="X960" s="46"/>
    </row>
    <row r="961" spans="1:24" x14ac:dyDescent="0.2">
      <c r="A961" s="191" t="s">
        <v>52</v>
      </c>
      <c r="B961" s="91">
        <v>0</v>
      </c>
      <c r="C961" s="91">
        <v>1924268</v>
      </c>
      <c r="D961" s="91">
        <v>4313713</v>
      </c>
      <c r="E961" s="91">
        <v>0</v>
      </c>
      <c r="F961" s="91">
        <v>3116640</v>
      </c>
      <c r="G961" s="180">
        <f>SUM(B961:F961)</f>
        <v>9354621</v>
      </c>
      <c r="H961" s="91"/>
      <c r="I961" s="91">
        <v>348517</v>
      </c>
      <c r="J961" s="91">
        <v>0</v>
      </c>
      <c r="K961" s="91">
        <v>1682563</v>
      </c>
      <c r="L961" s="91">
        <v>1605124</v>
      </c>
      <c r="M961" s="91">
        <v>0</v>
      </c>
      <c r="N961" s="91">
        <v>3445</v>
      </c>
      <c r="O961" s="91">
        <v>1406429</v>
      </c>
      <c r="P961" s="91">
        <v>719975</v>
      </c>
      <c r="Q961" s="91">
        <v>0</v>
      </c>
      <c r="R961" s="180">
        <f>SUM(I961:Q961)</f>
        <v>5766053</v>
      </c>
      <c r="S961" s="180">
        <v>0</v>
      </c>
      <c r="T961" s="91">
        <v>5333754.1579999998</v>
      </c>
      <c r="U961" s="86">
        <v>0</v>
      </c>
      <c r="V961" s="86">
        <v>0</v>
      </c>
      <c r="W961" s="186">
        <f>R961+G961+S961+T961</f>
        <v>20454428.158</v>
      </c>
      <c r="X961" s="46"/>
    </row>
    <row r="962" spans="1:24" x14ac:dyDescent="0.2">
      <c r="A962" s="191" t="s">
        <v>42</v>
      </c>
      <c r="B962" s="91">
        <f t="shared" ref="B962:G962" si="439">B959+B961-B914</f>
        <v>0</v>
      </c>
      <c r="C962" s="91">
        <f t="shared" si="439"/>
        <v>31876796.999999993</v>
      </c>
      <c r="D962" s="91">
        <f t="shared" si="439"/>
        <v>60667362.999999985</v>
      </c>
      <c r="E962" s="91">
        <f t="shared" si="439"/>
        <v>23669694.000000056</v>
      </c>
      <c r="F962" s="91">
        <f t="shared" si="439"/>
        <v>31165553.000000007</v>
      </c>
      <c r="G962" s="180">
        <f t="shared" si="439"/>
        <v>147379407.00000006</v>
      </c>
      <c r="H962" s="91"/>
      <c r="I962" s="91">
        <f t="shared" ref="I962:W962" si="440">I959+I961-I914</f>
        <v>9228517</v>
      </c>
      <c r="J962" s="91">
        <f t="shared" si="440"/>
        <v>0</v>
      </c>
      <c r="K962" s="91">
        <f t="shared" si="440"/>
        <v>15029437</v>
      </c>
      <c r="L962" s="91">
        <f t="shared" si="440"/>
        <v>14598376</v>
      </c>
      <c r="M962" s="91">
        <f t="shared" si="440"/>
        <v>13301109</v>
      </c>
      <c r="N962" s="91">
        <f t="shared" si="440"/>
        <v>6782061</v>
      </c>
      <c r="O962" s="91">
        <f t="shared" si="440"/>
        <v>15728856</v>
      </c>
      <c r="P962" s="91">
        <f t="shared" si="440"/>
        <v>20594147</v>
      </c>
      <c r="Q962" s="91">
        <f t="shared" si="440"/>
        <v>0</v>
      </c>
      <c r="R962" s="180">
        <f t="shared" si="440"/>
        <v>95262503</v>
      </c>
      <c r="S962" s="180">
        <f t="shared" si="440"/>
        <v>67924569.16579996</v>
      </c>
      <c r="T962" s="215">
        <f t="shared" si="440"/>
        <v>30967375.142199993</v>
      </c>
      <c r="U962" s="86">
        <f t="shared" si="440"/>
        <v>3832569.1657999996</v>
      </c>
      <c r="V962" s="86">
        <f t="shared" si="440"/>
        <v>2237190</v>
      </c>
      <c r="W962" s="186">
        <f t="shared" si="440"/>
        <v>341533854.30800015</v>
      </c>
      <c r="X962" s="46">
        <f>X959+W961</f>
        <v>9488804188.0440025</v>
      </c>
    </row>
    <row r="963" spans="1:24" x14ac:dyDescent="0.2">
      <c r="A963" s="191"/>
      <c r="B963" s="52"/>
      <c r="C963" s="52"/>
      <c r="D963" s="52"/>
      <c r="E963" s="52"/>
      <c r="F963" s="52"/>
      <c r="G963" s="180"/>
      <c r="H963" s="91"/>
      <c r="I963" s="52"/>
      <c r="J963" s="52"/>
      <c r="K963" s="52"/>
      <c r="L963" s="52"/>
      <c r="M963" s="52"/>
      <c r="N963" s="52"/>
      <c r="O963" s="52"/>
      <c r="P963" s="52"/>
      <c r="Q963" s="52"/>
      <c r="R963" s="180"/>
      <c r="S963" s="180"/>
      <c r="T963" s="44"/>
      <c r="U963" s="86"/>
      <c r="V963" s="186"/>
      <c r="W963" s="186"/>
      <c r="X963" s="46"/>
    </row>
    <row r="964" spans="1:24" x14ac:dyDescent="0.2">
      <c r="A964" s="245" t="s">
        <v>53</v>
      </c>
      <c r="B964" s="253">
        <v>9600</v>
      </c>
      <c r="C964" s="253">
        <v>1741871</v>
      </c>
      <c r="D964" s="253">
        <v>4516815</v>
      </c>
      <c r="E964" s="253">
        <f>E961*0.8</f>
        <v>0</v>
      </c>
      <c r="F964" s="253">
        <v>1281993</v>
      </c>
      <c r="G964" s="254">
        <f>SUM(B964:F964)</f>
        <v>7550279</v>
      </c>
      <c r="H964" s="253"/>
      <c r="I964" s="253">
        <v>0</v>
      </c>
      <c r="J964" s="253">
        <f>J961*0.8</f>
        <v>0</v>
      </c>
      <c r="K964" s="253">
        <v>1532971</v>
      </c>
      <c r="L964" s="253">
        <v>1491089</v>
      </c>
      <c r="M964" s="253">
        <f>M961</f>
        <v>0</v>
      </c>
      <c r="N964" s="253">
        <v>0</v>
      </c>
      <c r="O964" s="253">
        <v>1175480</v>
      </c>
      <c r="P964" s="253">
        <v>3062832</v>
      </c>
      <c r="Q964" s="253">
        <f>Q961*0.8</f>
        <v>0</v>
      </c>
      <c r="R964" s="254">
        <f>SUM(I964:Q964)</f>
        <v>7262372</v>
      </c>
      <c r="S964" s="254">
        <f>S961</f>
        <v>0</v>
      </c>
      <c r="T964" s="254">
        <v>1636534.17</v>
      </c>
      <c r="U964" s="251">
        <v>0</v>
      </c>
      <c r="V964" s="251">
        <v>0</v>
      </c>
      <c r="W964" s="252">
        <f>R964+G964+S964+T964</f>
        <v>16449185.17</v>
      </c>
      <c r="X964" s="46"/>
    </row>
    <row r="965" spans="1:24" ht="13.5" thickBot="1" x14ac:dyDescent="0.25">
      <c r="A965" s="192" t="s">
        <v>42</v>
      </c>
      <c r="B965" s="187">
        <f t="shared" ref="B965:G965" si="441">B962+B964-B917</f>
        <v>9600</v>
      </c>
      <c r="C965" s="187">
        <f t="shared" si="441"/>
        <v>32785733.999999993</v>
      </c>
      <c r="D965" s="187">
        <f t="shared" si="441"/>
        <v>60102960.999999985</v>
      </c>
      <c r="E965" s="187">
        <f t="shared" si="441"/>
        <v>23669694.000000056</v>
      </c>
      <c r="F965" s="187">
        <f t="shared" si="441"/>
        <v>30211566.000000007</v>
      </c>
      <c r="G965" s="188">
        <f t="shared" si="441"/>
        <v>146779555.00000006</v>
      </c>
      <c r="H965" s="187"/>
      <c r="I965" s="187">
        <f t="shared" ref="I965:W965" si="442">I962+I964-I917</f>
        <v>7944517</v>
      </c>
      <c r="J965" s="187">
        <f t="shared" si="442"/>
        <v>0</v>
      </c>
      <c r="K965" s="187">
        <f t="shared" si="442"/>
        <v>16451019</v>
      </c>
      <c r="L965" s="187">
        <f t="shared" si="442"/>
        <v>15983442</v>
      </c>
      <c r="M965" s="187">
        <f t="shared" si="442"/>
        <v>13102666</v>
      </c>
      <c r="N965" s="187">
        <f t="shared" si="442"/>
        <v>6153325</v>
      </c>
      <c r="O965" s="187">
        <f t="shared" si="442"/>
        <v>16361209</v>
      </c>
      <c r="P965" s="187">
        <f t="shared" si="442"/>
        <v>20981986</v>
      </c>
      <c r="Q965" s="187">
        <f t="shared" si="442"/>
        <v>0</v>
      </c>
      <c r="R965" s="188">
        <f t="shared" si="442"/>
        <v>96978164</v>
      </c>
      <c r="S965" s="188">
        <f t="shared" si="442"/>
        <v>61038913.16579996</v>
      </c>
      <c r="T965" s="212">
        <f t="shared" si="442"/>
        <v>30175753.312199995</v>
      </c>
      <c r="U965" s="212">
        <f t="shared" si="442"/>
        <v>3646913.1657999996</v>
      </c>
      <c r="V965" s="224">
        <f t="shared" si="442"/>
        <v>2237190</v>
      </c>
      <c r="W965" s="189">
        <f t="shared" si="442"/>
        <v>334972385.47800016</v>
      </c>
      <c r="X965" s="190">
        <f>X962+W964</f>
        <v>9505253373.2140026</v>
      </c>
    </row>
    <row r="966" spans="1:24" x14ac:dyDescent="0.2">
      <c r="A966" s="211" t="s">
        <v>128</v>
      </c>
    </row>
    <row r="967" spans="1:24" x14ac:dyDescent="0.2">
      <c r="A967" s="211" t="s">
        <v>142</v>
      </c>
      <c r="S967" t="s">
        <v>198</v>
      </c>
      <c r="T967" s="219"/>
    </row>
    <row r="968" spans="1:24" x14ac:dyDescent="0.2">
      <c r="A968" s="211" t="s">
        <v>182</v>
      </c>
      <c r="S968" t="s">
        <v>122</v>
      </c>
    </row>
    <row r="970" spans="1:24" ht="27" x14ac:dyDescent="0.35">
      <c r="A970" s="126" t="s">
        <v>201</v>
      </c>
      <c r="B970" s="121"/>
      <c r="C970" s="121"/>
      <c r="D970" s="122"/>
      <c r="E970" s="121"/>
      <c r="F970" s="121"/>
      <c r="G970" s="121"/>
      <c r="H970" s="121"/>
      <c r="I970" s="121"/>
      <c r="J970" s="121"/>
      <c r="K970" s="121"/>
      <c r="L970" s="123"/>
      <c r="M970" s="124"/>
      <c r="N970" s="121"/>
      <c r="O970" s="121"/>
      <c r="P970" s="121"/>
      <c r="Q970" s="121"/>
      <c r="R970" s="121"/>
      <c r="S970" s="121"/>
      <c r="T970" s="121"/>
      <c r="U970" s="121"/>
      <c r="V970" s="121"/>
      <c r="W970" s="125"/>
      <c r="X970" s="121"/>
    </row>
    <row r="971" spans="1:24" x14ac:dyDescent="0.2">
      <c r="A971" s="52"/>
      <c r="B971" s="52"/>
      <c r="C971" s="21"/>
      <c r="D971" s="115"/>
      <c r="E971" s="52"/>
      <c r="F971" s="115"/>
      <c r="G971" s="248" t="s">
        <v>60</v>
      </c>
      <c r="H971" s="115"/>
      <c r="I971" s="115"/>
      <c r="J971" s="115"/>
      <c r="K971" s="52"/>
      <c r="L971" s="115"/>
      <c r="M971" s="52"/>
      <c r="N971" s="52"/>
      <c r="O971" s="52"/>
      <c r="P971" s="52"/>
      <c r="Q971" s="52"/>
      <c r="R971" s="52"/>
      <c r="S971" s="52"/>
      <c r="T971" s="52"/>
      <c r="U971" s="52"/>
      <c r="V971" s="52"/>
      <c r="W971" s="91"/>
      <c r="X971" s="91"/>
    </row>
    <row r="972" spans="1:24" ht="27.75" thickBot="1" x14ac:dyDescent="0.4">
      <c r="A972" s="126" t="s">
        <v>107</v>
      </c>
      <c r="B972" s="121"/>
      <c r="C972" s="121"/>
      <c r="D972" s="121"/>
      <c r="E972" s="121"/>
      <c r="F972" s="122"/>
      <c r="G972" s="121"/>
      <c r="H972" s="121"/>
      <c r="I972" s="121"/>
      <c r="J972" s="121"/>
      <c r="K972" s="121"/>
      <c r="L972" s="121"/>
      <c r="M972" s="121"/>
      <c r="N972" s="121"/>
      <c r="O972" s="121"/>
      <c r="P972" s="121"/>
      <c r="Q972" s="121"/>
      <c r="R972" s="121"/>
      <c r="S972" s="121"/>
      <c r="T972" s="121"/>
      <c r="U972" s="121"/>
      <c r="V972" s="121"/>
      <c r="W972" s="125"/>
      <c r="X972" s="125"/>
    </row>
    <row r="973" spans="1:24" x14ac:dyDescent="0.2">
      <c r="A973" s="174"/>
      <c r="B973" s="173"/>
      <c r="C973" s="173"/>
      <c r="D973" s="173"/>
      <c r="E973" s="173"/>
      <c r="F973" s="173"/>
      <c r="G973" s="173"/>
      <c r="H973" s="173"/>
      <c r="I973" s="173"/>
      <c r="J973" s="173"/>
      <c r="K973" s="173"/>
      <c r="L973" s="173"/>
      <c r="M973" s="173"/>
      <c r="N973" s="173"/>
      <c r="O973" s="173"/>
      <c r="P973" s="173"/>
      <c r="Q973" s="173"/>
      <c r="R973" s="173"/>
      <c r="S973" s="173"/>
      <c r="T973" s="173"/>
      <c r="U973" s="173"/>
      <c r="V973" s="173"/>
      <c r="W973" s="173"/>
      <c r="X973" s="181"/>
    </row>
    <row r="974" spans="1:24" ht="13.5" thickBot="1" x14ac:dyDescent="0.25">
      <c r="A974" s="176"/>
      <c r="B974" s="179" t="s">
        <v>112</v>
      </c>
      <c r="C974" s="177"/>
      <c r="D974" s="177"/>
      <c r="E974" s="177"/>
      <c r="F974" s="177"/>
      <c r="G974" s="177"/>
      <c r="H974" s="177"/>
      <c r="I974" s="177"/>
      <c r="J974" s="177"/>
      <c r="K974" s="177"/>
      <c r="L974" s="179" t="s">
        <v>113</v>
      </c>
      <c r="M974" s="177"/>
      <c r="N974" s="177"/>
      <c r="O974" s="177"/>
      <c r="P974" s="177"/>
      <c r="Q974" s="177"/>
      <c r="R974" s="177"/>
      <c r="S974" s="177"/>
      <c r="T974" s="177"/>
      <c r="U974" s="177"/>
      <c r="V974" s="177"/>
      <c r="W974" s="177"/>
      <c r="X974" s="182"/>
    </row>
    <row r="975" spans="1:24" x14ac:dyDescent="0.2">
      <c r="A975" s="175"/>
      <c r="B975" s="155" t="s">
        <v>11</v>
      </c>
      <c r="C975" s="155" t="s">
        <v>12</v>
      </c>
      <c r="D975" s="155" t="s">
        <v>13</v>
      </c>
      <c r="E975" s="155" t="s">
        <v>14</v>
      </c>
      <c r="F975" s="155" t="s">
        <v>15</v>
      </c>
      <c r="G975" s="193" t="s">
        <v>16</v>
      </c>
      <c r="H975" s="21"/>
      <c r="I975" s="155" t="s">
        <v>17</v>
      </c>
      <c r="J975" s="21"/>
      <c r="K975" s="21"/>
      <c r="L975" s="21"/>
      <c r="M975" s="21"/>
      <c r="N975" s="155" t="s">
        <v>18</v>
      </c>
      <c r="O975" s="155" t="s">
        <v>19</v>
      </c>
      <c r="P975" s="155" t="s">
        <v>20</v>
      </c>
      <c r="Q975" s="155" t="s">
        <v>21</v>
      </c>
      <c r="R975" s="193" t="s">
        <v>16</v>
      </c>
      <c r="S975" s="193" t="s">
        <v>114</v>
      </c>
      <c r="T975" s="209" t="s">
        <v>127</v>
      </c>
      <c r="U975" s="207" t="s">
        <v>138</v>
      </c>
      <c r="V975" s="221" t="s">
        <v>136</v>
      </c>
      <c r="W975" s="155" t="s">
        <v>7</v>
      </c>
      <c r="X975" s="194" t="s">
        <v>70</v>
      </c>
    </row>
    <row r="976" spans="1:24" ht="13.5" thickBot="1" x14ac:dyDescent="0.25">
      <c r="A976" s="176"/>
      <c r="B976" s="179" t="s">
        <v>23</v>
      </c>
      <c r="C976" s="179" t="s">
        <v>24</v>
      </c>
      <c r="D976" s="179" t="s">
        <v>25</v>
      </c>
      <c r="E976" s="179" t="s">
        <v>26</v>
      </c>
      <c r="F976" s="179" t="s">
        <v>27</v>
      </c>
      <c r="G976" s="195" t="s">
        <v>28</v>
      </c>
      <c r="H976" s="179"/>
      <c r="I976" s="179" t="s">
        <v>29</v>
      </c>
      <c r="J976" s="179" t="s">
        <v>30</v>
      </c>
      <c r="K976" s="179" t="s">
        <v>31</v>
      </c>
      <c r="L976" s="179" t="s">
        <v>32</v>
      </c>
      <c r="M976" s="179" t="s">
        <v>33</v>
      </c>
      <c r="N976" s="179" t="s">
        <v>34</v>
      </c>
      <c r="O976" s="179" t="s">
        <v>35</v>
      </c>
      <c r="P976" s="179" t="s">
        <v>36</v>
      </c>
      <c r="Q976" s="179" t="s">
        <v>37</v>
      </c>
      <c r="R976" s="195" t="s">
        <v>28</v>
      </c>
      <c r="S976" s="195" t="s">
        <v>129</v>
      </c>
      <c r="T976" s="210" t="s">
        <v>130</v>
      </c>
      <c r="U976" s="179" t="s">
        <v>139</v>
      </c>
      <c r="V976" s="222" t="s">
        <v>143</v>
      </c>
      <c r="W976" s="179" t="s">
        <v>181</v>
      </c>
      <c r="X976" s="196" t="s">
        <v>71</v>
      </c>
    </row>
    <row r="977" spans="1:24" x14ac:dyDescent="0.2">
      <c r="A977" s="175"/>
      <c r="B977" s="117"/>
      <c r="C977" s="117"/>
      <c r="D977" s="117"/>
      <c r="E977" s="117"/>
      <c r="F977" s="117"/>
      <c r="G977" s="178"/>
      <c r="H977" s="52"/>
      <c r="I977" s="117"/>
      <c r="J977" s="117"/>
      <c r="K977" s="117"/>
      <c r="L977" s="117"/>
      <c r="M977" s="117"/>
      <c r="N977" s="117"/>
      <c r="O977" s="117"/>
      <c r="P977" s="117"/>
      <c r="Q977" s="117"/>
      <c r="R977" s="178"/>
      <c r="S977" s="208"/>
      <c r="T977" s="185"/>
      <c r="U977" s="185"/>
      <c r="V977" s="185"/>
      <c r="W977" s="185"/>
      <c r="X977" s="183"/>
    </row>
    <row r="978" spans="1:24" x14ac:dyDescent="0.2">
      <c r="A978" s="191" t="s">
        <v>41</v>
      </c>
      <c r="B978" s="91">
        <v>4800</v>
      </c>
      <c r="C978" s="91">
        <v>2139583</v>
      </c>
      <c r="D978" s="91">
        <v>4566389</v>
      </c>
      <c r="E978" s="91">
        <v>0</v>
      </c>
      <c r="F978" s="91">
        <v>783516</v>
      </c>
      <c r="G978" s="180">
        <f>SUM(B978:F978)</f>
        <v>7494288</v>
      </c>
      <c r="H978" s="91"/>
      <c r="I978" s="91">
        <v>0</v>
      </c>
      <c r="J978" s="91">
        <v>0</v>
      </c>
      <c r="K978" s="91">
        <v>1696202</v>
      </c>
      <c r="L978" s="91">
        <v>1627488</v>
      </c>
      <c r="M978" s="91">
        <v>0</v>
      </c>
      <c r="N978" s="91">
        <v>0</v>
      </c>
      <c r="O978" s="91">
        <v>1113726</v>
      </c>
      <c r="P978" s="91">
        <v>1861518</v>
      </c>
      <c r="Q978" s="91">
        <v>0</v>
      </c>
      <c r="R978" s="180">
        <f>SUM(I978:Q978)</f>
        <v>6298934</v>
      </c>
      <c r="S978" s="180">
        <v>0</v>
      </c>
      <c r="T978" s="91">
        <v>136131.78899999999</v>
      </c>
      <c r="U978" s="86">
        <v>0</v>
      </c>
      <c r="V978" s="186">
        <v>0</v>
      </c>
      <c r="W978" s="186">
        <f>R978+G978+S978+T978</f>
        <v>13929353.789000001</v>
      </c>
      <c r="X978" s="46"/>
    </row>
    <row r="979" spans="1:24" x14ac:dyDescent="0.2">
      <c r="A979" s="191" t="s">
        <v>42</v>
      </c>
      <c r="B979" s="91">
        <f t="shared" ref="B979:G979" si="443">B965+B978-B931</f>
        <v>14400</v>
      </c>
      <c r="C979" s="91">
        <f t="shared" si="443"/>
        <v>33801133.999999993</v>
      </c>
      <c r="D979" s="91">
        <f t="shared" si="443"/>
        <v>58853403.999999985</v>
      </c>
      <c r="E979" s="91">
        <f t="shared" si="443"/>
        <v>23669694.000000056</v>
      </c>
      <c r="F979" s="91">
        <f t="shared" si="443"/>
        <v>29303514.000000007</v>
      </c>
      <c r="G979" s="180">
        <f t="shared" si="443"/>
        <v>145642146.00000006</v>
      </c>
      <c r="H979" s="91"/>
      <c r="I979" s="91">
        <f t="shared" ref="I979:W979" si="444">I965+I978-I931</f>
        <v>6528517</v>
      </c>
      <c r="J979" s="91">
        <f t="shared" si="444"/>
        <v>0</v>
      </c>
      <c r="K979" s="91">
        <f t="shared" si="444"/>
        <v>17712076</v>
      </c>
      <c r="L979" s="91">
        <f t="shared" si="444"/>
        <v>17169293</v>
      </c>
      <c r="M979" s="91">
        <f t="shared" si="444"/>
        <v>11122958</v>
      </c>
      <c r="N979" s="91">
        <f t="shared" si="444"/>
        <v>5716013</v>
      </c>
      <c r="O979" s="91">
        <f t="shared" si="444"/>
        <v>16995719</v>
      </c>
      <c r="P979" s="91">
        <f t="shared" si="444"/>
        <v>20142372</v>
      </c>
      <c r="Q979" s="91">
        <f t="shared" si="444"/>
        <v>0</v>
      </c>
      <c r="R979" s="180">
        <f t="shared" si="444"/>
        <v>95386948</v>
      </c>
      <c r="S979" s="180">
        <f t="shared" si="444"/>
        <v>56709617.463799961</v>
      </c>
      <c r="T979" s="215">
        <f t="shared" si="444"/>
        <v>30311885.101199996</v>
      </c>
      <c r="U979" s="86">
        <f t="shared" si="444"/>
        <v>3472617.4638</v>
      </c>
      <c r="V979" s="86">
        <f t="shared" si="444"/>
        <v>2237190</v>
      </c>
      <c r="W979" s="186">
        <f t="shared" si="444"/>
        <v>328050596.56500012</v>
      </c>
      <c r="X979" s="46">
        <f>X965+W978</f>
        <v>9519182727.0030022</v>
      </c>
    </row>
    <row r="980" spans="1:24" x14ac:dyDescent="0.2">
      <c r="A980" s="191"/>
      <c r="B980" s="52"/>
      <c r="C980" s="52"/>
      <c r="D980" s="52"/>
      <c r="E980" s="52"/>
      <c r="F980" s="52"/>
      <c r="G980" s="180"/>
      <c r="H980" s="91"/>
      <c r="I980" s="52"/>
      <c r="J980" s="52"/>
      <c r="K980" s="52"/>
      <c r="L980" s="52"/>
      <c r="M980" s="52"/>
      <c r="N980" s="52"/>
      <c r="O980" s="52"/>
      <c r="P980" s="52"/>
      <c r="Q980" s="52"/>
      <c r="R980" s="180"/>
      <c r="S980" s="178"/>
      <c r="T980" s="218"/>
      <c r="U980" s="217"/>
      <c r="V980" s="185"/>
      <c r="W980" s="186"/>
      <c r="X980" s="46"/>
    </row>
    <row r="981" spans="1:24" x14ac:dyDescent="0.2">
      <c r="A981" s="191" t="s">
        <v>43</v>
      </c>
      <c r="B981" s="91">
        <v>0</v>
      </c>
      <c r="C981" s="91">
        <v>1943946</v>
      </c>
      <c r="D981" s="91">
        <v>2736167</v>
      </c>
      <c r="E981" s="91">
        <v>0</v>
      </c>
      <c r="F981" s="91">
        <v>847611</v>
      </c>
      <c r="G981" s="180">
        <f>SUM(B981:F981)</f>
        <v>5527724</v>
      </c>
      <c r="H981" s="91"/>
      <c r="I981" s="91">
        <v>0</v>
      </c>
      <c r="J981" s="91">
        <v>0</v>
      </c>
      <c r="K981" s="91">
        <v>911118</v>
      </c>
      <c r="L981" s="91">
        <v>1142783</v>
      </c>
      <c r="M981" s="91">
        <v>0</v>
      </c>
      <c r="N981" s="91">
        <v>0</v>
      </c>
      <c r="O981" s="91">
        <v>938937</v>
      </c>
      <c r="P981" s="91">
        <v>2620578</v>
      </c>
      <c r="Q981" s="91">
        <v>0</v>
      </c>
      <c r="R981" s="180">
        <f>SUM(I981:Q981)</f>
        <v>5613416</v>
      </c>
      <c r="S981" s="180">
        <v>0</v>
      </c>
      <c r="T981" s="91">
        <v>0</v>
      </c>
      <c r="U981" s="86">
        <v>0</v>
      </c>
      <c r="V981" s="186">
        <v>0</v>
      </c>
      <c r="W981" s="186">
        <f>R981+G981+S981+T981</f>
        <v>11141140</v>
      </c>
      <c r="X981" s="46"/>
    </row>
    <row r="982" spans="1:24" x14ac:dyDescent="0.2">
      <c r="A982" s="191" t="s">
        <v>42</v>
      </c>
      <c r="B982" s="91">
        <f t="shared" ref="B982:G982" si="445">B979+B981-B934</f>
        <v>14400</v>
      </c>
      <c r="C982" s="91">
        <f t="shared" si="445"/>
        <v>33357874.999999993</v>
      </c>
      <c r="D982" s="91">
        <f t="shared" si="445"/>
        <v>57462564.999999985</v>
      </c>
      <c r="E982" s="91">
        <f t="shared" si="445"/>
        <v>23669694.000000056</v>
      </c>
      <c r="F982" s="91">
        <f t="shared" si="445"/>
        <v>27718316.000000007</v>
      </c>
      <c r="G982" s="180">
        <f t="shared" si="445"/>
        <v>142222850.00000006</v>
      </c>
      <c r="H982" s="91"/>
      <c r="I982" s="91">
        <f t="shared" ref="I982:W982" si="446">I979+I981-I934</f>
        <v>6528517</v>
      </c>
      <c r="J982" s="91">
        <f t="shared" si="446"/>
        <v>0</v>
      </c>
      <c r="K982" s="91">
        <f t="shared" si="446"/>
        <v>18623194</v>
      </c>
      <c r="L982" s="91">
        <f t="shared" si="446"/>
        <v>18312076</v>
      </c>
      <c r="M982" s="91">
        <f t="shared" si="446"/>
        <v>10426630</v>
      </c>
      <c r="N982" s="91">
        <f t="shared" si="446"/>
        <v>5393199</v>
      </c>
      <c r="O982" s="91">
        <f t="shared" si="446"/>
        <v>16654801</v>
      </c>
      <c r="P982" s="91">
        <f t="shared" si="446"/>
        <v>20808083</v>
      </c>
      <c r="Q982" s="91">
        <f t="shared" si="446"/>
        <v>0</v>
      </c>
      <c r="R982" s="180">
        <f t="shared" si="446"/>
        <v>96746500</v>
      </c>
      <c r="S982" s="180">
        <f t="shared" si="446"/>
        <v>52080563.463799961</v>
      </c>
      <c r="T982" s="215">
        <f t="shared" si="446"/>
        <v>29885966.101199996</v>
      </c>
      <c r="U982" s="86">
        <f t="shared" si="446"/>
        <v>3207563.4638</v>
      </c>
      <c r="V982" s="86">
        <f t="shared" si="446"/>
        <v>0</v>
      </c>
      <c r="W982" s="186">
        <f t="shared" si="446"/>
        <v>320935879.56500012</v>
      </c>
      <c r="X982" s="46">
        <f>X979+W981</f>
        <v>9530323867.0030022</v>
      </c>
    </row>
    <row r="983" spans="1:24" x14ac:dyDescent="0.2">
      <c r="A983" s="191"/>
      <c r="B983" s="91"/>
      <c r="C983" s="91"/>
      <c r="D983" s="91"/>
      <c r="E983" s="91"/>
      <c r="F983" s="91"/>
      <c r="G983" s="180"/>
      <c r="H983" s="91"/>
      <c r="I983" s="91"/>
      <c r="J983" s="91"/>
      <c r="K983" s="91"/>
      <c r="L983" s="91"/>
      <c r="M983" s="91"/>
      <c r="N983" s="91"/>
      <c r="O983" s="91"/>
      <c r="P983" s="91"/>
      <c r="Q983" s="91"/>
      <c r="R983" s="180"/>
      <c r="S983" s="178"/>
      <c r="T983" s="218"/>
      <c r="U983" s="217"/>
      <c r="V983" s="185"/>
      <c r="W983" s="186"/>
      <c r="X983" s="46"/>
    </row>
    <row r="984" spans="1:24" x14ac:dyDescent="0.2">
      <c r="A984" s="191" t="s">
        <v>44</v>
      </c>
      <c r="B984" s="91">
        <v>4800</v>
      </c>
      <c r="C984" s="91">
        <v>2473935</v>
      </c>
      <c r="D984" s="91">
        <v>3719132</v>
      </c>
      <c r="E984" s="91">
        <v>0</v>
      </c>
      <c r="F984" s="91">
        <v>1110174</v>
      </c>
      <c r="G984" s="180">
        <f>SUM(B984:F984)</f>
        <v>7308041</v>
      </c>
      <c r="H984" s="91"/>
      <c r="I984" s="91">
        <v>0</v>
      </c>
      <c r="J984" s="91">
        <v>0</v>
      </c>
      <c r="K984" s="91">
        <v>1526586</v>
      </c>
      <c r="L984" s="91">
        <v>1618390</v>
      </c>
      <c r="M984" s="91">
        <v>0</v>
      </c>
      <c r="N984" s="91">
        <v>0</v>
      </c>
      <c r="O984" s="91">
        <v>1216165</v>
      </c>
      <c r="P984" s="91">
        <v>2647170</v>
      </c>
      <c r="Q984" s="91">
        <v>0</v>
      </c>
      <c r="R984" s="180">
        <f>SUM(I984:Q984)</f>
        <v>7008311</v>
      </c>
      <c r="S984" s="180">
        <v>0</v>
      </c>
      <c r="T984" s="91">
        <v>208009.91</v>
      </c>
      <c r="U984" s="86">
        <v>0</v>
      </c>
      <c r="V984" s="186">
        <v>0</v>
      </c>
      <c r="W984" s="186">
        <f>R984+G984+S984+T984</f>
        <v>14524361.91</v>
      </c>
      <c r="X984" s="46"/>
    </row>
    <row r="985" spans="1:24" x14ac:dyDescent="0.2">
      <c r="A985" s="191" t="s">
        <v>42</v>
      </c>
      <c r="B985" s="91">
        <f t="shared" ref="B985:G985" si="447">B982+B984-B937</f>
        <v>19200</v>
      </c>
      <c r="C985" s="91">
        <f t="shared" si="447"/>
        <v>32570552.999999993</v>
      </c>
      <c r="D985" s="91">
        <f t="shared" si="447"/>
        <v>55348049.999999985</v>
      </c>
      <c r="E985" s="91">
        <f t="shared" si="447"/>
        <v>23669694.000000056</v>
      </c>
      <c r="F985" s="91">
        <f t="shared" si="447"/>
        <v>26142613.000000007</v>
      </c>
      <c r="G985" s="180">
        <f t="shared" si="447"/>
        <v>137750110.00000006</v>
      </c>
      <c r="H985" s="91"/>
      <c r="I985" s="91">
        <f t="shared" ref="I985:W985" si="448">I982+I984-I937</f>
        <v>6528517</v>
      </c>
      <c r="J985" s="91">
        <f t="shared" si="448"/>
        <v>0</v>
      </c>
      <c r="K985" s="91">
        <f t="shared" si="448"/>
        <v>18759739</v>
      </c>
      <c r="L985" s="91">
        <f t="shared" si="448"/>
        <v>18623516</v>
      </c>
      <c r="M985" s="91">
        <f t="shared" si="448"/>
        <v>8237666</v>
      </c>
      <c r="N985" s="91">
        <f t="shared" si="448"/>
        <v>4831852</v>
      </c>
      <c r="O985" s="91">
        <f t="shared" si="448"/>
        <v>16127610</v>
      </c>
      <c r="P985" s="91">
        <f t="shared" si="448"/>
        <v>23155703</v>
      </c>
      <c r="Q985" s="91">
        <f t="shared" si="448"/>
        <v>0</v>
      </c>
      <c r="R985" s="180">
        <f t="shared" si="448"/>
        <v>96264603</v>
      </c>
      <c r="S985" s="180">
        <f t="shared" si="448"/>
        <v>45491531.463799961</v>
      </c>
      <c r="T985" s="215">
        <f t="shared" si="448"/>
        <v>28251756.011199996</v>
      </c>
      <c r="U985" s="86">
        <f t="shared" si="448"/>
        <v>2903531.4638</v>
      </c>
      <c r="V985" s="86">
        <f t="shared" si="448"/>
        <v>0</v>
      </c>
      <c r="W985" s="186">
        <f t="shared" si="448"/>
        <v>307758000.47500014</v>
      </c>
      <c r="X985" s="46">
        <f>X982+W984</f>
        <v>9544848228.913002</v>
      </c>
    </row>
    <row r="986" spans="1:24" x14ac:dyDescent="0.2">
      <c r="A986" s="191"/>
      <c r="B986" s="52"/>
      <c r="C986" s="52"/>
      <c r="D986" s="52"/>
      <c r="E986" s="52"/>
      <c r="F986" s="52"/>
      <c r="G986" s="180"/>
      <c r="H986" s="91"/>
      <c r="I986" s="52"/>
      <c r="J986" s="52"/>
      <c r="K986" s="52"/>
      <c r="L986" s="52"/>
      <c r="M986" s="52"/>
      <c r="N986" s="52"/>
      <c r="O986" s="52"/>
      <c r="P986" s="52"/>
      <c r="Q986" s="52"/>
      <c r="R986" s="180"/>
      <c r="S986" s="178"/>
      <c r="T986" s="218"/>
      <c r="U986" s="217"/>
      <c r="V986" s="185"/>
      <c r="W986" s="186"/>
      <c r="X986" s="46"/>
    </row>
    <row r="987" spans="1:24" x14ac:dyDescent="0.2">
      <c r="A987" s="191" t="s">
        <v>45</v>
      </c>
      <c r="B987" s="91">
        <v>0</v>
      </c>
      <c r="C987" s="91">
        <v>2537050</v>
      </c>
      <c r="D987" s="91">
        <v>4834095</v>
      </c>
      <c r="E987" s="91">
        <v>0</v>
      </c>
      <c r="F987" s="91">
        <v>1851857</v>
      </c>
      <c r="G987" s="180">
        <f>SUM(B987:F987)</f>
        <v>9223002</v>
      </c>
      <c r="H987" s="91"/>
      <c r="I987" s="91">
        <v>0</v>
      </c>
      <c r="J987" s="91">
        <v>0</v>
      </c>
      <c r="K987" s="91">
        <v>1281930</v>
      </c>
      <c r="L987" s="91">
        <v>1431463</v>
      </c>
      <c r="M987" s="91">
        <v>0</v>
      </c>
      <c r="N987" s="91">
        <v>0</v>
      </c>
      <c r="O987" s="91">
        <v>1284312</v>
      </c>
      <c r="P987" s="91">
        <v>1501302</v>
      </c>
      <c r="Q987" s="91">
        <v>0</v>
      </c>
      <c r="R987" s="180">
        <f>SUM(I987:Q987)</f>
        <v>5499007</v>
      </c>
      <c r="S987" s="180">
        <v>0</v>
      </c>
      <c r="T987" s="253">
        <v>3195440</v>
      </c>
      <c r="U987" s="86">
        <v>0</v>
      </c>
      <c r="V987" s="186">
        <v>0</v>
      </c>
      <c r="W987" s="186">
        <f>R987+G987+S987+T987</f>
        <v>17917449</v>
      </c>
      <c r="X987" s="46"/>
    </row>
    <row r="988" spans="1:24" x14ac:dyDescent="0.2">
      <c r="A988" s="191" t="s">
        <v>42</v>
      </c>
      <c r="B988" s="91">
        <f t="shared" ref="B988:G988" si="449">B985+B987-B940</f>
        <v>19200</v>
      </c>
      <c r="C988" s="91">
        <f t="shared" si="449"/>
        <v>32275747.999999993</v>
      </c>
      <c r="D988" s="91">
        <f t="shared" si="449"/>
        <v>55417981.999999985</v>
      </c>
      <c r="E988" s="91">
        <f t="shared" si="449"/>
        <v>22247566.000000056</v>
      </c>
      <c r="F988" s="91">
        <f t="shared" si="449"/>
        <v>25030369.000000007</v>
      </c>
      <c r="G988" s="180">
        <f t="shared" si="449"/>
        <v>134990865.00000006</v>
      </c>
      <c r="H988" s="91"/>
      <c r="I988" s="91">
        <f t="shared" ref="I988:W988" si="450">I985+I987-I940</f>
        <v>5556517</v>
      </c>
      <c r="J988" s="91">
        <f t="shared" si="450"/>
        <v>0</v>
      </c>
      <c r="K988" s="91">
        <f t="shared" si="450"/>
        <v>18469019</v>
      </c>
      <c r="L988" s="91">
        <f t="shared" si="450"/>
        <v>18527670</v>
      </c>
      <c r="M988" s="91">
        <f t="shared" si="450"/>
        <v>6398719</v>
      </c>
      <c r="N988" s="91">
        <f t="shared" si="450"/>
        <v>4150479</v>
      </c>
      <c r="O988" s="91">
        <f t="shared" si="450"/>
        <v>15637047</v>
      </c>
      <c r="P988" s="91">
        <f t="shared" si="450"/>
        <v>24085029</v>
      </c>
      <c r="Q988" s="91">
        <f t="shared" si="450"/>
        <v>0</v>
      </c>
      <c r="R988" s="180">
        <f t="shared" si="450"/>
        <v>92824480</v>
      </c>
      <c r="S988" s="180">
        <f t="shared" si="450"/>
        <v>39489661.655799963</v>
      </c>
      <c r="T988" s="215">
        <f t="shared" si="450"/>
        <v>28833486.862199996</v>
      </c>
      <c r="U988" s="86">
        <f t="shared" si="450"/>
        <v>2518661.6557999998</v>
      </c>
      <c r="V988" s="86">
        <f t="shared" si="450"/>
        <v>0</v>
      </c>
      <c r="W988" s="186">
        <f t="shared" si="450"/>
        <v>296138493.51800013</v>
      </c>
      <c r="X988" s="46">
        <f>X985+W987</f>
        <v>9562765677.913002</v>
      </c>
    </row>
    <row r="989" spans="1:24" x14ac:dyDescent="0.2">
      <c r="A989" s="191"/>
      <c r="B989" s="52"/>
      <c r="C989" s="52"/>
      <c r="D989" s="52"/>
      <c r="E989" s="52"/>
      <c r="F989" s="52"/>
      <c r="G989" s="180"/>
      <c r="H989" s="91"/>
      <c r="I989" s="52"/>
      <c r="J989" s="52"/>
      <c r="K989" s="52"/>
      <c r="L989" s="52"/>
      <c r="M989" s="52"/>
      <c r="N989" s="52"/>
      <c r="O989" s="52"/>
      <c r="P989" s="52"/>
      <c r="Q989" s="52"/>
      <c r="R989" s="180"/>
      <c r="S989" s="180"/>
      <c r="T989" s="44"/>
      <c r="U989" s="86"/>
      <c r="V989" s="186"/>
      <c r="W989" s="186"/>
      <c r="X989" s="46"/>
    </row>
    <row r="990" spans="1:24" x14ac:dyDescent="0.2">
      <c r="A990" s="191" t="s">
        <v>46</v>
      </c>
      <c r="B990" s="91">
        <v>0</v>
      </c>
      <c r="C990" s="91">
        <v>2424672</v>
      </c>
      <c r="D990" s="91">
        <v>4857366</v>
      </c>
      <c r="E990" s="91">
        <v>0</v>
      </c>
      <c r="F990" s="91">
        <v>2702278</v>
      </c>
      <c r="G990" s="180">
        <f>SUM(B990:F990)</f>
        <v>9984316</v>
      </c>
      <c r="H990" s="91"/>
      <c r="I990" s="91">
        <v>0</v>
      </c>
      <c r="J990" s="91">
        <v>0</v>
      </c>
      <c r="K990" s="91">
        <v>1502692</v>
      </c>
      <c r="L990" s="91">
        <v>1495183</v>
      </c>
      <c r="M990" s="91">
        <v>0</v>
      </c>
      <c r="N990" s="91">
        <v>304617</v>
      </c>
      <c r="O990" s="91">
        <v>1440424</v>
      </c>
      <c r="P990" s="91">
        <v>0</v>
      </c>
      <c r="Q990" s="91">
        <v>1783676</v>
      </c>
      <c r="R990" s="180">
        <f>SUM(I990:Q990)</f>
        <v>6526592</v>
      </c>
      <c r="S990" s="180">
        <v>230178</v>
      </c>
      <c r="T990" s="91">
        <v>4497854</v>
      </c>
      <c r="U990" s="86">
        <f>S990-168800</f>
        <v>61378</v>
      </c>
      <c r="V990" s="186">
        <v>0</v>
      </c>
      <c r="W990" s="186">
        <f>R990+G990+S990+T990</f>
        <v>21238940</v>
      </c>
      <c r="X990" s="46"/>
    </row>
    <row r="991" spans="1:24" x14ac:dyDescent="0.2">
      <c r="A991" s="191" t="s">
        <v>42</v>
      </c>
      <c r="B991" s="91">
        <f t="shared" ref="B991:G991" si="451">B988+B990-B943</f>
        <v>19200</v>
      </c>
      <c r="C991" s="91">
        <f t="shared" si="451"/>
        <v>31100314.999999993</v>
      </c>
      <c r="D991" s="91">
        <f t="shared" si="451"/>
        <v>55780471.999999985</v>
      </c>
      <c r="E991" s="91">
        <f t="shared" si="451"/>
        <v>19609921.000000056</v>
      </c>
      <c r="F991" s="91">
        <f t="shared" si="451"/>
        <v>25947464.000000007</v>
      </c>
      <c r="G991" s="180">
        <f t="shared" si="451"/>
        <v>132457372.00000006</v>
      </c>
      <c r="H991" s="91"/>
      <c r="I991" s="91">
        <f t="shared" ref="I991:W991" si="452">I988+I990-I943</f>
        <v>5556517</v>
      </c>
      <c r="J991" s="91">
        <f t="shared" si="452"/>
        <v>0</v>
      </c>
      <c r="K991" s="91">
        <f t="shared" si="452"/>
        <v>18378001</v>
      </c>
      <c r="L991" s="91">
        <f t="shared" si="452"/>
        <v>18572402</v>
      </c>
      <c r="M991" s="91">
        <f t="shared" si="452"/>
        <v>5496421</v>
      </c>
      <c r="N991" s="91">
        <f t="shared" si="452"/>
        <v>3742688</v>
      </c>
      <c r="O991" s="91">
        <f t="shared" si="452"/>
        <v>15344210</v>
      </c>
      <c r="P991" s="91">
        <f t="shared" si="452"/>
        <v>22094905</v>
      </c>
      <c r="Q991" s="91">
        <f t="shared" si="452"/>
        <v>1783676</v>
      </c>
      <c r="R991" s="180">
        <f t="shared" si="452"/>
        <v>90968820</v>
      </c>
      <c r="S991" s="180">
        <f t="shared" si="452"/>
        <v>32214680.350799963</v>
      </c>
      <c r="T991" s="215">
        <f t="shared" si="452"/>
        <v>28039996.480199996</v>
      </c>
      <c r="U991" s="86">
        <f t="shared" si="452"/>
        <v>2137880.3508000001</v>
      </c>
      <c r="V991" s="86">
        <f t="shared" si="452"/>
        <v>0</v>
      </c>
      <c r="W991" s="186">
        <f t="shared" si="452"/>
        <v>283680868.83100015</v>
      </c>
      <c r="X991" s="46">
        <f>X988+W990</f>
        <v>9584004617.913002</v>
      </c>
    </row>
    <row r="992" spans="1:24" x14ac:dyDescent="0.2">
      <c r="A992" s="191"/>
      <c r="B992" s="52"/>
      <c r="C992" s="52"/>
      <c r="D992" s="52"/>
      <c r="E992" s="52"/>
      <c r="F992" s="52"/>
      <c r="G992" s="180"/>
      <c r="H992" s="91"/>
      <c r="I992" s="52"/>
      <c r="J992" s="52"/>
      <c r="K992" s="52"/>
      <c r="L992" s="52"/>
      <c r="M992" s="52"/>
      <c r="N992" s="52"/>
      <c r="O992" s="52"/>
      <c r="P992" s="52"/>
      <c r="Q992" s="52"/>
      <c r="R992" s="180"/>
      <c r="S992" s="180"/>
      <c r="T992" s="44"/>
      <c r="U992" s="86"/>
      <c r="V992" s="186"/>
      <c r="W992" s="186"/>
      <c r="X992" s="46"/>
    </row>
    <row r="993" spans="1:24" x14ac:dyDescent="0.2">
      <c r="A993" s="191" t="s">
        <v>47</v>
      </c>
      <c r="B993" s="91">
        <v>0</v>
      </c>
      <c r="C993" s="91">
        <v>2761439</v>
      </c>
      <c r="D993" s="91">
        <v>4975772</v>
      </c>
      <c r="E993" s="91">
        <v>0</v>
      </c>
      <c r="F993" s="91">
        <v>2502869</v>
      </c>
      <c r="G993" s="180">
        <f>SUM(B993:F993)</f>
        <v>10240080</v>
      </c>
      <c r="H993" s="91"/>
      <c r="I993" s="91">
        <v>379243</v>
      </c>
      <c r="J993" s="91">
        <v>693672</v>
      </c>
      <c r="K993" s="91">
        <v>1655117</v>
      </c>
      <c r="L993" s="91">
        <v>1610248</v>
      </c>
      <c r="M993" s="91">
        <v>2057101</v>
      </c>
      <c r="N993" s="91">
        <v>353324</v>
      </c>
      <c r="O993" s="91">
        <v>904966</v>
      </c>
      <c r="P993" s="91">
        <v>598787</v>
      </c>
      <c r="Q993" s="91">
        <v>1401807</v>
      </c>
      <c r="R993" s="180">
        <f>SUM(I993:Q993)</f>
        <v>9654265</v>
      </c>
      <c r="S993" s="180">
        <v>5502150</v>
      </c>
      <c r="T993" s="253">
        <f>287332</f>
        <v>287332</v>
      </c>
      <c r="U993" s="86">
        <f>S993-5158200</f>
        <v>343950</v>
      </c>
      <c r="V993" s="186">
        <v>0</v>
      </c>
      <c r="W993" s="186">
        <f>R993+G993+S993+T993</f>
        <v>25683827</v>
      </c>
      <c r="X993" s="46"/>
    </row>
    <row r="994" spans="1:24" x14ac:dyDescent="0.2">
      <c r="A994" s="191" t="s">
        <v>42</v>
      </c>
      <c r="B994" s="91">
        <f t="shared" ref="B994:G994" si="453">B991+B993-B946</f>
        <v>19200</v>
      </c>
      <c r="C994" s="91">
        <f t="shared" si="453"/>
        <v>30418375.999999993</v>
      </c>
      <c r="D994" s="91">
        <f t="shared" si="453"/>
        <v>55249021.999999985</v>
      </c>
      <c r="E994" s="91">
        <f t="shared" si="453"/>
        <v>13459827.000000056</v>
      </c>
      <c r="F994" s="91">
        <f t="shared" si="453"/>
        <v>25423396.000000007</v>
      </c>
      <c r="G994" s="180">
        <f t="shared" si="453"/>
        <v>124569821.00000006</v>
      </c>
      <c r="H994" s="91"/>
      <c r="I994" s="91">
        <f t="shared" ref="I994:W994" si="454">I991+I993-I946</f>
        <v>5527760</v>
      </c>
      <c r="J994" s="91">
        <f t="shared" si="454"/>
        <v>693672</v>
      </c>
      <c r="K994" s="91">
        <f t="shared" si="454"/>
        <v>18267960</v>
      </c>
      <c r="L994" s="91">
        <f t="shared" si="454"/>
        <v>18459613</v>
      </c>
      <c r="M994" s="91">
        <f t="shared" si="454"/>
        <v>6004356</v>
      </c>
      <c r="N994" s="91">
        <f t="shared" si="454"/>
        <v>3885466</v>
      </c>
      <c r="O994" s="91">
        <f t="shared" si="454"/>
        <v>14987107</v>
      </c>
      <c r="P994" s="91">
        <f t="shared" si="454"/>
        <v>19862625</v>
      </c>
      <c r="Q994" s="91">
        <f t="shared" si="454"/>
        <v>3185483</v>
      </c>
      <c r="R994" s="180">
        <f t="shared" si="454"/>
        <v>90874042</v>
      </c>
      <c r="S994" s="180">
        <f t="shared" si="454"/>
        <v>29468810.350799963</v>
      </c>
      <c r="T994" s="215">
        <f t="shared" si="454"/>
        <v>28327211.180999998</v>
      </c>
      <c r="U994" s="86">
        <f t="shared" si="454"/>
        <v>1982810.3508000001</v>
      </c>
      <c r="V994" s="86">
        <f t="shared" si="454"/>
        <v>0</v>
      </c>
      <c r="W994" s="186">
        <f t="shared" si="454"/>
        <v>273239884.53180015</v>
      </c>
      <c r="X994" s="46">
        <f>X991+W993</f>
        <v>9609688444.913002</v>
      </c>
    </row>
    <row r="995" spans="1:24" x14ac:dyDescent="0.2">
      <c r="A995" s="191"/>
      <c r="B995" s="52"/>
      <c r="C995" s="52"/>
      <c r="D995" s="52"/>
      <c r="E995" s="52"/>
      <c r="F995" s="52"/>
      <c r="G995" s="180"/>
      <c r="H995" s="91"/>
      <c r="I995" s="52"/>
      <c r="J995" s="52"/>
      <c r="K995" s="52"/>
      <c r="L995" s="52"/>
      <c r="M995" s="52"/>
      <c r="N995" s="52"/>
      <c r="O995" s="52"/>
      <c r="P995" s="52"/>
      <c r="Q995" s="52"/>
      <c r="R995" s="180"/>
      <c r="S995" s="180" t="s">
        <v>105</v>
      </c>
      <c r="T995" s="44"/>
      <c r="U995" s="86"/>
      <c r="V995" s="186"/>
      <c r="W995" s="186"/>
      <c r="X995" s="46"/>
    </row>
    <row r="996" spans="1:24" x14ac:dyDescent="0.2">
      <c r="A996" s="191" t="s">
        <v>48</v>
      </c>
      <c r="B996" s="91">
        <v>0</v>
      </c>
      <c r="C996" s="91">
        <v>2823189</v>
      </c>
      <c r="D996" s="91">
        <v>4360345</v>
      </c>
      <c r="E996" s="91">
        <v>0</v>
      </c>
      <c r="F996" s="91">
        <v>2464746</v>
      </c>
      <c r="G996" s="180">
        <f>SUM(B996:F996)</f>
        <v>9648280</v>
      </c>
      <c r="H996" s="91"/>
      <c r="I996" s="91">
        <v>6113974</v>
      </c>
      <c r="J996" s="91">
        <v>3764238</v>
      </c>
      <c r="K996" s="91">
        <v>1271310</v>
      </c>
      <c r="L996" s="91">
        <v>1328668</v>
      </c>
      <c r="M996" s="91">
        <v>3063957</v>
      </c>
      <c r="N996" s="91">
        <v>681979</v>
      </c>
      <c r="O996" s="91">
        <v>0</v>
      </c>
      <c r="P996" s="91">
        <v>195186</v>
      </c>
      <c r="Q996" s="91">
        <v>318881</v>
      </c>
      <c r="R996" s="180">
        <f>SUM(I996:Q996)</f>
        <v>16738193</v>
      </c>
      <c r="S996" s="180">
        <f>7422495.73</f>
        <v>7422495.7300000004</v>
      </c>
      <c r="T996" s="91">
        <v>0</v>
      </c>
      <c r="U996" s="86">
        <f>S996-7058000</f>
        <v>364495.73000000045</v>
      </c>
      <c r="V996" s="186">
        <v>0</v>
      </c>
      <c r="W996" s="186">
        <f>R996+G996+S996+T996</f>
        <v>33808968.730000004</v>
      </c>
      <c r="X996" s="46"/>
    </row>
    <row r="997" spans="1:24" x14ac:dyDescent="0.2">
      <c r="A997" s="191" t="s">
        <v>42</v>
      </c>
      <c r="B997" s="91">
        <f t="shared" ref="B997:G997" si="455">B994+B996-B949</f>
        <v>19200</v>
      </c>
      <c r="C997" s="91">
        <f t="shared" si="455"/>
        <v>29696391.999999993</v>
      </c>
      <c r="D997" s="91">
        <f t="shared" si="455"/>
        <v>54141594.999999985</v>
      </c>
      <c r="E997" s="91">
        <f t="shared" si="455"/>
        <v>8901803.0000000559</v>
      </c>
      <c r="F997" s="91">
        <f t="shared" si="455"/>
        <v>24948573.000000007</v>
      </c>
      <c r="G997" s="180">
        <f t="shared" si="455"/>
        <v>117707563.00000006</v>
      </c>
      <c r="H997" s="91"/>
      <c r="I997" s="91">
        <f t="shared" ref="I997:W997" si="456">I994+I996-I949</f>
        <v>10033734</v>
      </c>
      <c r="J997" s="91">
        <f t="shared" si="456"/>
        <v>4457910</v>
      </c>
      <c r="K997" s="91">
        <f t="shared" si="456"/>
        <v>17973650</v>
      </c>
      <c r="L997" s="91">
        <f t="shared" si="456"/>
        <v>18198972</v>
      </c>
      <c r="M997" s="91">
        <f t="shared" si="456"/>
        <v>6472003</v>
      </c>
      <c r="N997" s="91">
        <f t="shared" si="456"/>
        <v>3743859</v>
      </c>
      <c r="O997" s="91">
        <f t="shared" si="456"/>
        <v>13549218</v>
      </c>
      <c r="P997" s="91">
        <f t="shared" si="456"/>
        <v>17618347</v>
      </c>
      <c r="Q997" s="91">
        <f t="shared" si="456"/>
        <v>3504364</v>
      </c>
      <c r="R997" s="180">
        <f t="shared" si="456"/>
        <v>95552057</v>
      </c>
      <c r="S997" s="180">
        <f t="shared" si="456"/>
        <v>29599456.567799967</v>
      </c>
      <c r="T997" s="215">
        <f t="shared" si="456"/>
        <v>27582306.655999999</v>
      </c>
      <c r="U997" s="86">
        <f t="shared" si="456"/>
        <v>1847456.5678000003</v>
      </c>
      <c r="V997" s="86">
        <f t="shared" si="456"/>
        <v>0</v>
      </c>
      <c r="W997" s="186">
        <f t="shared" si="456"/>
        <v>270441383.22380018</v>
      </c>
      <c r="X997" s="46">
        <f>X994+W996</f>
        <v>9643497413.6430016</v>
      </c>
    </row>
    <row r="998" spans="1:24" x14ac:dyDescent="0.2">
      <c r="A998" s="191"/>
      <c r="B998" s="52"/>
      <c r="C998" s="52"/>
      <c r="D998" s="52"/>
      <c r="E998" s="52"/>
      <c r="F998" s="52"/>
      <c r="G998" s="180"/>
      <c r="H998" s="91"/>
      <c r="I998" s="52"/>
      <c r="J998" s="52"/>
      <c r="K998" s="52"/>
      <c r="L998" s="52"/>
      <c r="M998" s="52"/>
      <c r="N998" s="52"/>
      <c r="O998" s="52"/>
      <c r="P998" s="52"/>
      <c r="Q998" s="52"/>
      <c r="R998" s="180"/>
      <c r="S998" s="180"/>
      <c r="T998" s="44"/>
      <c r="U998" s="86"/>
      <c r="V998" s="186"/>
      <c r="W998" s="186"/>
      <c r="X998" s="46"/>
    </row>
    <row r="999" spans="1:24" x14ac:dyDescent="0.2">
      <c r="A999" s="191" t="s">
        <v>49</v>
      </c>
      <c r="B999" s="91">
        <v>0</v>
      </c>
      <c r="C999" s="91">
        <v>3304916</v>
      </c>
      <c r="D999" s="91">
        <v>3941749</v>
      </c>
      <c r="E999" s="91">
        <v>0</v>
      </c>
      <c r="F999" s="91">
        <v>2786334</v>
      </c>
      <c r="G999" s="180">
        <f>SUM(B999:F999)</f>
        <v>10032999</v>
      </c>
      <c r="H999" s="91"/>
      <c r="I999" s="91">
        <v>5287333</v>
      </c>
      <c r="J999" s="91">
        <v>3546562</v>
      </c>
      <c r="K999" s="91">
        <v>1798136</v>
      </c>
      <c r="L999" s="91">
        <v>1576388</v>
      </c>
      <c r="M999" s="91">
        <v>2890672</v>
      </c>
      <c r="N999" s="91">
        <v>644356</v>
      </c>
      <c r="O999" s="91">
        <v>0</v>
      </c>
      <c r="P999" s="91">
        <v>105573</v>
      </c>
      <c r="Q999" s="91">
        <v>1423538</v>
      </c>
      <c r="R999" s="180">
        <f>SUM(I999:Q999)</f>
        <v>17272558</v>
      </c>
      <c r="S999" s="180">
        <v>6574186</v>
      </c>
      <c r="T999" s="91">
        <v>0</v>
      </c>
      <c r="U999" s="86">
        <f>S999-6196000</f>
        <v>378186</v>
      </c>
      <c r="V999" s="186">
        <v>0</v>
      </c>
      <c r="W999" s="186">
        <f>R999+G999+S999+T999</f>
        <v>33879743</v>
      </c>
      <c r="X999" s="46"/>
    </row>
    <row r="1000" spans="1:24" x14ac:dyDescent="0.2">
      <c r="A1000" s="191" t="s">
        <v>42</v>
      </c>
      <c r="B1000" s="91">
        <f t="shared" ref="B1000:G1000" si="457">B997+B999-B952</f>
        <v>19200</v>
      </c>
      <c r="C1000" s="91">
        <f t="shared" si="457"/>
        <v>29565450.999999993</v>
      </c>
      <c r="D1000" s="91">
        <f t="shared" si="457"/>
        <v>52572602.999999985</v>
      </c>
      <c r="E1000" s="91">
        <f t="shared" si="457"/>
        <v>4335507.0000000559</v>
      </c>
      <c r="F1000" s="91">
        <f t="shared" si="457"/>
        <v>24710879.000000007</v>
      </c>
      <c r="G1000" s="180">
        <f t="shared" si="457"/>
        <v>111203640.00000006</v>
      </c>
      <c r="H1000" s="91"/>
      <c r="I1000" s="91">
        <f t="shared" ref="I1000:W1000" si="458">I997+I999-I952</f>
        <v>13713067</v>
      </c>
      <c r="J1000" s="91">
        <f t="shared" si="458"/>
        <v>8004472</v>
      </c>
      <c r="K1000" s="91">
        <f t="shared" si="458"/>
        <v>18185541</v>
      </c>
      <c r="L1000" s="91">
        <f t="shared" si="458"/>
        <v>18185290</v>
      </c>
      <c r="M1000" s="91">
        <f t="shared" si="458"/>
        <v>8011730</v>
      </c>
      <c r="N1000" s="91">
        <f t="shared" si="458"/>
        <v>3569426</v>
      </c>
      <c r="O1000" s="91">
        <f t="shared" si="458"/>
        <v>12143594</v>
      </c>
      <c r="P1000" s="91">
        <f t="shared" si="458"/>
        <v>15931821</v>
      </c>
      <c r="Q1000" s="91">
        <f t="shared" si="458"/>
        <v>4927902</v>
      </c>
      <c r="R1000" s="180">
        <f t="shared" si="458"/>
        <v>102672843</v>
      </c>
      <c r="S1000" s="180">
        <f t="shared" si="458"/>
        <v>28863572.567799971</v>
      </c>
      <c r="T1000" s="215">
        <f t="shared" si="458"/>
        <v>24566627.655999999</v>
      </c>
      <c r="U1000" s="86">
        <f t="shared" si="458"/>
        <v>1762572.5678000003</v>
      </c>
      <c r="V1000" s="86">
        <f t="shared" si="458"/>
        <v>0</v>
      </c>
      <c r="W1000" s="186">
        <f t="shared" si="458"/>
        <v>267306683.22380018</v>
      </c>
      <c r="X1000" s="46">
        <f>X997+W999</f>
        <v>9677377156.6430016</v>
      </c>
    </row>
    <row r="1001" spans="1:24" x14ac:dyDescent="0.2">
      <c r="A1001" s="191"/>
      <c r="B1001" s="52"/>
      <c r="C1001" s="52"/>
      <c r="D1001" s="52"/>
      <c r="E1001" s="52"/>
      <c r="F1001" s="52"/>
      <c r="G1001" s="180"/>
      <c r="H1001" s="91"/>
      <c r="I1001" s="52"/>
      <c r="J1001" s="52"/>
      <c r="K1001" s="52"/>
      <c r="L1001" s="52"/>
      <c r="M1001" s="52"/>
      <c r="N1001" s="52"/>
      <c r="O1001" s="52"/>
      <c r="P1001" s="52"/>
      <c r="Q1001" s="52"/>
      <c r="R1001" s="180"/>
      <c r="S1001" s="180"/>
      <c r="T1001" s="44"/>
      <c r="U1001" s="86"/>
      <c r="V1001" s="186"/>
      <c r="W1001" s="186"/>
      <c r="X1001" s="46"/>
    </row>
    <row r="1002" spans="1:24" x14ac:dyDescent="0.2">
      <c r="A1002" s="191" t="s">
        <v>50</v>
      </c>
      <c r="B1002" s="91">
        <v>0</v>
      </c>
      <c r="C1002" s="91">
        <v>2968190</v>
      </c>
      <c r="D1002" s="91">
        <v>3557632</v>
      </c>
      <c r="E1002" s="91">
        <v>0</v>
      </c>
      <c r="F1002" s="91">
        <v>2004242</v>
      </c>
      <c r="G1002" s="180">
        <f>SUM(B1002:F1002)</f>
        <v>8530064</v>
      </c>
      <c r="H1002" s="91"/>
      <c r="I1002" s="91">
        <v>4305622</v>
      </c>
      <c r="J1002" s="267">
        <f>3227294+732</f>
        <v>3228026</v>
      </c>
      <c r="K1002" s="267">
        <f>1427952+1444</f>
        <v>1429396</v>
      </c>
      <c r="L1002" s="267">
        <f>1349597+1211</f>
        <v>1350808</v>
      </c>
      <c r="M1002" s="91">
        <v>2204086</v>
      </c>
      <c r="N1002" s="91">
        <v>437982</v>
      </c>
      <c r="O1002" s="91">
        <v>0</v>
      </c>
      <c r="P1002" s="267">
        <f>796022+2064</f>
        <v>798086</v>
      </c>
      <c r="Q1002" s="91">
        <v>0</v>
      </c>
      <c r="R1002" s="180">
        <f>SUM(I1002:Q1002)</f>
        <v>13754006</v>
      </c>
      <c r="S1002" s="180">
        <v>6269779</v>
      </c>
      <c r="T1002" s="91">
        <v>0</v>
      </c>
      <c r="U1002" s="86">
        <f>S1002-5859000</f>
        <v>410779</v>
      </c>
      <c r="V1002" s="186">
        <v>0</v>
      </c>
      <c r="W1002" s="186">
        <f>R1002+G1002+S1002+T1002</f>
        <v>28553849</v>
      </c>
      <c r="X1002" s="46"/>
    </row>
    <row r="1003" spans="1:24" x14ac:dyDescent="0.2">
      <c r="A1003" s="191" t="s">
        <v>42</v>
      </c>
      <c r="B1003" s="91">
        <f t="shared" ref="B1003:G1003" si="459">B1000+B1002-B955</f>
        <v>19200</v>
      </c>
      <c r="C1003" s="91">
        <f t="shared" si="459"/>
        <v>29384302.999999993</v>
      </c>
      <c r="D1003" s="91">
        <f t="shared" si="459"/>
        <v>50975761.999999985</v>
      </c>
      <c r="E1003" s="91">
        <f t="shared" si="459"/>
        <v>901934.00000005588</v>
      </c>
      <c r="F1003" s="91">
        <f t="shared" si="459"/>
        <v>24231760.000000007</v>
      </c>
      <c r="G1003" s="180">
        <f t="shared" si="459"/>
        <v>105512959.00000006</v>
      </c>
      <c r="H1003" s="91"/>
      <c r="I1003" s="91">
        <f t="shared" ref="I1003:W1003" si="460">I1000+I1002-I955</f>
        <v>16458689</v>
      </c>
      <c r="J1003" s="91">
        <f t="shared" si="460"/>
        <v>11232498</v>
      </c>
      <c r="K1003" s="91">
        <f t="shared" si="460"/>
        <v>18082723</v>
      </c>
      <c r="L1003" s="91">
        <f t="shared" si="460"/>
        <v>17964311</v>
      </c>
      <c r="M1003" s="91">
        <f t="shared" si="460"/>
        <v>10215816</v>
      </c>
      <c r="N1003" s="91">
        <f t="shared" si="460"/>
        <v>3227981</v>
      </c>
      <c r="O1003" s="91">
        <f t="shared" si="460"/>
        <v>10943058</v>
      </c>
      <c r="P1003" s="91">
        <f t="shared" si="460"/>
        <v>14681650</v>
      </c>
      <c r="Q1003" s="91">
        <f t="shared" si="460"/>
        <v>4927902</v>
      </c>
      <c r="R1003" s="180">
        <f t="shared" si="460"/>
        <v>107734628</v>
      </c>
      <c r="S1003" s="180">
        <f t="shared" si="460"/>
        <v>29201668.729999971</v>
      </c>
      <c r="T1003" s="215">
        <f t="shared" si="460"/>
        <v>20037014.026999999</v>
      </c>
      <c r="U1003" s="86">
        <f t="shared" si="460"/>
        <v>1779668.7300000004</v>
      </c>
      <c r="V1003" s="86">
        <f t="shared" si="460"/>
        <v>0</v>
      </c>
      <c r="W1003" s="186">
        <f t="shared" si="460"/>
        <v>262486269.75700018</v>
      </c>
      <c r="X1003" s="46">
        <f>X1000+W1002</f>
        <v>9705931005.6430016</v>
      </c>
    </row>
    <row r="1004" spans="1:24" x14ac:dyDescent="0.2">
      <c r="A1004" s="191"/>
      <c r="B1004" s="52"/>
      <c r="C1004" s="52"/>
      <c r="D1004" s="52"/>
      <c r="E1004" s="52"/>
      <c r="F1004" s="52"/>
      <c r="G1004" s="180"/>
      <c r="H1004" s="91"/>
      <c r="I1004" s="52"/>
      <c r="J1004" s="52"/>
      <c r="K1004" s="52"/>
      <c r="L1004" s="52"/>
      <c r="M1004" s="52"/>
      <c r="N1004" s="52"/>
      <c r="O1004" s="52"/>
      <c r="P1004" s="52"/>
      <c r="Q1004" s="52"/>
      <c r="R1004" s="180"/>
      <c r="S1004" s="180"/>
      <c r="T1004" s="44"/>
      <c r="U1004" s="86"/>
      <c r="V1004" s="186"/>
      <c r="W1004" s="186"/>
      <c r="X1004" s="46"/>
    </row>
    <row r="1005" spans="1:24" x14ac:dyDescent="0.2">
      <c r="A1005" s="191" t="s">
        <v>51</v>
      </c>
      <c r="B1005" s="91">
        <v>0</v>
      </c>
      <c r="C1005" s="91">
        <v>3107681</v>
      </c>
      <c r="D1005" s="91">
        <v>3951684</v>
      </c>
      <c r="E1005" s="91">
        <v>0</v>
      </c>
      <c r="F1005" s="91">
        <v>2458071</v>
      </c>
      <c r="G1005" s="180">
        <f>SUM(B1005:F1005)</f>
        <v>9517436</v>
      </c>
      <c r="H1005" s="91"/>
      <c r="I1005" s="91">
        <v>1462938</v>
      </c>
      <c r="J1005" s="267">
        <f>36176+29</f>
        <v>36205</v>
      </c>
      <c r="K1005" s="267">
        <f>1830059+7891</f>
        <v>1837950</v>
      </c>
      <c r="L1005" s="267">
        <f>1779006+7611</f>
        <v>1786617</v>
      </c>
      <c r="M1005" s="91">
        <v>2976171</v>
      </c>
      <c r="N1005" s="91">
        <v>0</v>
      </c>
      <c r="O1005" s="91">
        <v>1167382</v>
      </c>
      <c r="P1005" s="267">
        <f>1616765+20204</f>
        <v>1636969</v>
      </c>
      <c r="Q1005" s="91">
        <v>0</v>
      </c>
      <c r="R1005" s="180">
        <f>SUM(I1005:Q1005)</f>
        <v>10904232</v>
      </c>
      <c r="S1005" s="180">
        <v>4427415</v>
      </c>
      <c r="T1005" s="86">
        <f>3748346+3648300*0</f>
        <v>3748346</v>
      </c>
      <c r="U1005" s="86">
        <f>S1005-4224000</f>
        <v>203415</v>
      </c>
      <c r="V1005" s="186">
        <v>0</v>
      </c>
      <c r="W1005" s="186">
        <f>R1005+G1005+S1005+T1005</f>
        <v>28597429</v>
      </c>
      <c r="X1005" s="46"/>
    </row>
    <row r="1006" spans="1:24" x14ac:dyDescent="0.2">
      <c r="A1006" s="191" t="s">
        <v>42</v>
      </c>
      <c r="B1006" s="91">
        <f t="shared" ref="B1006:G1006" si="461">B1003+B1005-B958</f>
        <v>19200</v>
      </c>
      <c r="C1006" s="91">
        <f t="shared" si="461"/>
        <v>30150739.999999993</v>
      </c>
      <c r="D1006" s="91">
        <f t="shared" si="461"/>
        <v>50330858.999999985</v>
      </c>
      <c r="E1006" s="91">
        <f t="shared" si="461"/>
        <v>5.5879354476928711E-8</v>
      </c>
      <c r="F1006" s="91">
        <f t="shared" si="461"/>
        <v>23910331.000000007</v>
      </c>
      <c r="G1006" s="180">
        <f t="shared" si="461"/>
        <v>104411130.00000006</v>
      </c>
      <c r="H1006" s="91"/>
      <c r="I1006" s="91">
        <f t="shared" ref="I1006:W1006" si="462">I1003+I1005-I958</f>
        <v>17897627</v>
      </c>
      <c r="J1006" s="91">
        <f t="shared" si="462"/>
        <v>11268703</v>
      </c>
      <c r="K1006" s="91">
        <f t="shared" si="462"/>
        <v>18125971</v>
      </c>
      <c r="L1006" s="91">
        <f t="shared" si="462"/>
        <v>18064249</v>
      </c>
      <c r="M1006" s="91">
        <f t="shared" si="462"/>
        <v>13191987</v>
      </c>
      <c r="N1006" s="91">
        <f t="shared" si="462"/>
        <v>2425703</v>
      </c>
      <c r="O1006" s="91">
        <f t="shared" si="462"/>
        <v>10647821</v>
      </c>
      <c r="P1006" s="91">
        <f t="shared" si="462"/>
        <v>15747976</v>
      </c>
      <c r="Q1006" s="91">
        <f t="shared" si="462"/>
        <v>4927902</v>
      </c>
      <c r="R1006" s="180">
        <f t="shared" si="462"/>
        <v>112297939</v>
      </c>
      <c r="S1006" s="180">
        <f t="shared" si="462"/>
        <v>30426203.729999974</v>
      </c>
      <c r="T1006" s="215">
        <f t="shared" si="462"/>
        <v>19043402.026999999</v>
      </c>
      <c r="U1006" s="86">
        <f t="shared" si="462"/>
        <v>1762203.7300000004</v>
      </c>
      <c r="V1006" s="86">
        <f t="shared" si="462"/>
        <v>0</v>
      </c>
      <c r="W1006" s="186">
        <f t="shared" si="462"/>
        <v>266178674.75700021</v>
      </c>
      <c r="X1006" s="46">
        <f>X1003+W1005</f>
        <v>9734528434.6430016</v>
      </c>
    </row>
    <row r="1007" spans="1:24" x14ac:dyDescent="0.2">
      <c r="A1007" s="191"/>
      <c r="B1007" s="52"/>
      <c r="C1007" s="52"/>
      <c r="D1007" s="52"/>
      <c r="E1007" s="52"/>
      <c r="F1007" s="52"/>
      <c r="G1007" s="180"/>
      <c r="H1007" s="91"/>
      <c r="I1007" s="52"/>
      <c r="J1007" s="52"/>
      <c r="K1007" s="52"/>
      <c r="L1007" s="52"/>
      <c r="M1007" s="52"/>
      <c r="N1007" s="52"/>
      <c r="O1007" s="52"/>
      <c r="P1007" s="52"/>
      <c r="Q1007" s="52"/>
      <c r="R1007" s="180"/>
      <c r="S1007" s="180"/>
      <c r="T1007" s="44"/>
      <c r="U1007" s="86"/>
      <c r="V1007" s="186"/>
      <c r="W1007" s="186"/>
      <c r="X1007" s="46"/>
    </row>
    <row r="1008" spans="1:24" x14ac:dyDescent="0.2">
      <c r="A1008" s="191" t="s">
        <v>52</v>
      </c>
      <c r="B1008" s="91">
        <v>0</v>
      </c>
      <c r="C1008" s="91">
        <v>2802929</v>
      </c>
      <c r="D1008" s="91">
        <v>4221084</v>
      </c>
      <c r="E1008" s="91">
        <v>0</v>
      </c>
      <c r="F1008" s="91">
        <v>939478</v>
      </c>
      <c r="G1008" s="180">
        <f>SUM(B1008:F1008)</f>
        <v>7963491</v>
      </c>
      <c r="H1008" s="91"/>
      <c r="I1008" s="91">
        <v>280693</v>
      </c>
      <c r="J1008" s="91">
        <v>0</v>
      </c>
      <c r="K1008" s="267">
        <f>1830758+7675</f>
        <v>1838433</v>
      </c>
      <c r="L1008" s="267">
        <f>1754633+7382</f>
        <v>1762015</v>
      </c>
      <c r="M1008" s="91">
        <v>51524</v>
      </c>
      <c r="N1008" s="91">
        <v>0</v>
      </c>
      <c r="O1008" s="91">
        <v>1279011</v>
      </c>
      <c r="P1008" s="267">
        <f>377373+4268</f>
        <v>381641</v>
      </c>
      <c r="Q1008" s="91">
        <v>0</v>
      </c>
      <c r="R1008" s="180">
        <f>SUM(I1008:Q1008)</f>
        <v>5593317</v>
      </c>
      <c r="S1008" s="180">
        <v>0</v>
      </c>
      <c r="T1008" s="91">
        <v>108797</v>
      </c>
      <c r="U1008" s="86">
        <v>0</v>
      </c>
      <c r="V1008" s="186">
        <v>0</v>
      </c>
      <c r="W1008" s="186">
        <f>R1008+G1008+S1008+T1008</f>
        <v>13665605</v>
      </c>
      <c r="X1008" s="46"/>
    </row>
    <row r="1009" spans="1:24" x14ac:dyDescent="0.2">
      <c r="A1009" s="191" t="s">
        <v>42</v>
      </c>
      <c r="B1009" s="91">
        <f t="shared" ref="B1009:G1009" si="463">B1006+B1008-B961</f>
        <v>19200</v>
      </c>
      <c r="C1009" s="91">
        <f t="shared" si="463"/>
        <v>31029400.999999993</v>
      </c>
      <c r="D1009" s="91">
        <f t="shared" si="463"/>
        <v>50238229.999999985</v>
      </c>
      <c r="E1009" s="91">
        <f t="shared" si="463"/>
        <v>5.5879354476928711E-8</v>
      </c>
      <c r="F1009" s="91">
        <f t="shared" si="463"/>
        <v>21733169.000000007</v>
      </c>
      <c r="G1009" s="180">
        <f t="shared" si="463"/>
        <v>103020000.00000006</v>
      </c>
      <c r="H1009" s="91"/>
      <c r="I1009" s="91">
        <f t="shared" ref="I1009:W1009" si="464">I1006+I1008-I961</f>
        <v>17829803</v>
      </c>
      <c r="J1009" s="91">
        <f t="shared" si="464"/>
        <v>11268703</v>
      </c>
      <c r="K1009" s="91">
        <f t="shared" si="464"/>
        <v>18281841</v>
      </c>
      <c r="L1009" s="91">
        <f t="shared" si="464"/>
        <v>18221140</v>
      </c>
      <c r="M1009" s="91">
        <f t="shared" si="464"/>
        <v>13243511</v>
      </c>
      <c r="N1009" s="91">
        <f t="shared" si="464"/>
        <v>2422258</v>
      </c>
      <c r="O1009" s="91">
        <f t="shared" si="464"/>
        <v>10520403</v>
      </c>
      <c r="P1009" s="91">
        <f t="shared" si="464"/>
        <v>15409642</v>
      </c>
      <c r="Q1009" s="91">
        <f t="shared" si="464"/>
        <v>4927902</v>
      </c>
      <c r="R1009" s="180">
        <f t="shared" si="464"/>
        <v>112125203</v>
      </c>
      <c r="S1009" s="180">
        <f t="shared" si="464"/>
        <v>30426203.729999974</v>
      </c>
      <c r="T1009" s="215">
        <f t="shared" si="464"/>
        <v>13818444.868999999</v>
      </c>
      <c r="U1009" s="86">
        <f t="shared" si="464"/>
        <v>1762203.7300000004</v>
      </c>
      <c r="V1009" s="86">
        <f t="shared" si="464"/>
        <v>0</v>
      </c>
      <c r="W1009" s="186">
        <f t="shared" si="464"/>
        <v>259389851.59900022</v>
      </c>
      <c r="X1009" s="46">
        <f>X1006+W1008</f>
        <v>9748194039.6430016</v>
      </c>
    </row>
    <row r="1010" spans="1:24" x14ac:dyDescent="0.2">
      <c r="A1010" s="191"/>
      <c r="B1010" s="52"/>
      <c r="C1010" s="52"/>
      <c r="D1010" s="52"/>
      <c r="E1010" s="52"/>
      <c r="F1010" s="52"/>
      <c r="G1010" s="180"/>
      <c r="H1010" s="91"/>
      <c r="I1010" s="52"/>
      <c r="J1010" s="52"/>
      <c r="K1010" s="52"/>
      <c r="L1010" s="52"/>
      <c r="M1010" s="52"/>
      <c r="N1010" s="52"/>
      <c r="O1010" s="52"/>
      <c r="P1010" s="52"/>
      <c r="Q1010" s="52"/>
      <c r="R1010" s="180"/>
      <c r="S1010" s="180"/>
      <c r="T1010" s="44"/>
      <c r="U1010" s="86"/>
      <c r="V1010" s="186"/>
      <c r="W1010" s="186"/>
      <c r="X1010" s="46"/>
    </row>
    <row r="1011" spans="1:24" x14ac:dyDescent="0.2">
      <c r="A1011" s="245" t="s">
        <v>53</v>
      </c>
      <c r="B1011" s="91">
        <v>0</v>
      </c>
      <c r="C1011" s="91">
        <v>2472869</v>
      </c>
      <c r="D1011" s="91">
        <v>3340982</v>
      </c>
      <c r="E1011" s="91">
        <v>0</v>
      </c>
      <c r="F1011" s="91">
        <v>299906</v>
      </c>
      <c r="G1011" s="180">
        <f>SUM(B1011:F1011)</f>
        <v>6113757</v>
      </c>
      <c r="H1011" s="91"/>
      <c r="I1011" s="91">
        <v>0</v>
      </c>
      <c r="J1011" s="91">
        <v>0</v>
      </c>
      <c r="K1011" s="267">
        <f>1640534+6548</f>
        <v>1647082</v>
      </c>
      <c r="L1011" s="267">
        <f>1597117+6313</f>
        <v>1603430</v>
      </c>
      <c r="M1011" s="91">
        <v>0</v>
      </c>
      <c r="N1011" s="91">
        <v>0</v>
      </c>
      <c r="O1011" s="91">
        <v>702993</v>
      </c>
      <c r="P1011" s="267">
        <f>3178489+45826</f>
        <v>3224315</v>
      </c>
      <c r="Q1011" s="91">
        <v>0</v>
      </c>
      <c r="R1011" s="180">
        <f>SUM(I1011:Q1011)</f>
        <v>7177820</v>
      </c>
      <c r="S1011" s="180">
        <v>0</v>
      </c>
      <c r="T1011" s="91">
        <v>0</v>
      </c>
      <c r="U1011" s="86">
        <v>0</v>
      </c>
      <c r="V1011" s="186">
        <v>0</v>
      </c>
      <c r="W1011" s="186">
        <f>R1011+G1011+S1011+T1011</f>
        <v>13291577</v>
      </c>
      <c r="X1011" s="46"/>
    </row>
    <row r="1012" spans="1:24" ht="13.5" thickBot="1" x14ac:dyDescent="0.25">
      <c r="A1012" s="192" t="s">
        <v>42</v>
      </c>
      <c r="B1012" s="187">
        <f t="shared" ref="B1012:G1012" si="465">B1009+B1011-B964</f>
        <v>9600</v>
      </c>
      <c r="C1012" s="187">
        <f t="shared" si="465"/>
        <v>31760398.999999993</v>
      </c>
      <c r="D1012" s="187">
        <f t="shared" si="465"/>
        <v>49062396.999999985</v>
      </c>
      <c r="E1012" s="187">
        <f t="shared" si="465"/>
        <v>5.5879354476928711E-8</v>
      </c>
      <c r="F1012" s="187">
        <f t="shared" si="465"/>
        <v>20751082.000000007</v>
      </c>
      <c r="G1012" s="188">
        <f t="shared" si="465"/>
        <v>101583478.00000006</v>
      </c>
      <c r="H1012" s="187"/>
      <c r="I1012" s="187">
        <f t="shared" ref="I1012:W1012" si="466">I1009+I1011-I964</f>
        <v>17829803</v>
      </c>
      <c r="J1012" s="187">
        <f t="shared" si="466"/>
        <v>11268703</v>
      </c>
      <c r="K1012" s="187">
        <f t="shared" si="466"/>
        <v>18395952</v>
      </c>
      <c r="L1012" s="187">
        <f t="shared" si="466"/>
        <v>18333481</v>
      </c>
      <c r="M1012" s="187">
        <f t="shared" si="466"/>
        <v>13243511</v>
      </c>
      <c r="N1012" s="187">
        <f t="shared" si="466"/>
        <v>2422258</v>
      </c>
      <c r="O1012" s="187">
        <f t="shared" si="466"/>
        <v>10047916</v>
      </c>
      <c r="P1012" s="187">
        <f t="shared" si="466"/>
        <v>15571125</v>
      </c>
      <c r="Q1012" s="187">
        <f t="shared" si="466"/>
        <v>4927902</v>
      </c>
      <c r="R1012" s="188">
        <f t="shared" si="466"/>
        <v>112040651</v>
      </c>
      <c r="S1012" s="188">
        <f t="shared" si="466"/>
        <v>30426203.729999974</v>
      </c>
      <c r="T1012" s="212">
        <f t="shared" si="466"/>
        <v>12181910.698999999</v>
      </c>
      <c r="U1012" s="212">
        <f t="shared" si="466"/>
        <v>1762203.7300000004</v>
      </c>
      <c r="V1012" s="224">
        <f t="shared" si="466"/>
        <v>0</v>
      </c>
      <c r="W1012" s="189">
        <f t="shared" si="466"/>
        <v>256232243.42900023</v>
      </c>
      <c r="X1012" s="190">
        <f>X1009+W1011</f>
        <v>9761485616.6430016</v>
      </c>
    </row>
    <row r="1013" spans="1:24" x14ac:dyDescent="0.2">
      <c r="A1013" s="211" t="s">
        <v>128</v>
      </c>
      <c r="M1013" s="229" t="s">
        <v>207</v>
      </c>
      <c r="N1013" s="229" t="s">
        <v>207</v>
      </c>
      <c r="O1013" s="229" t="s">
        <v>207</v>
      </c>
      <c r="P1013" s="229" t="s">
        <v>60</v>
      </c>
      <c r="Q1013" s="229" t="s">
        <v>207</v>
      </c>
    </row>
    <row r="1014" spans="1:24" x14ac:dyDescent="0.2">
      <c r="A1014" s="211" t="s">
        <v>142</v>
      </c>
      <c r="M1014" s="219">
        <f>M978+M981+M984+M987+M990+M993+M996+M999+M1002+M1005+M1008+M1011</f>
        <v>13243511</v>
      </c>
      <c r="N1014" s="219">
        <f>N978+N981+N984+N987+N990+N993+N996+N999+N1002+N1005+N1008+N1011</f>
        <v>2422258</v>
      </c>
      <c r="O1014" s="219">
        <f>O978+O981+O984+O987+O990+O993+O996+O999+O1002+O1005+O1008+O1011</f>
        <v>10047916</v>
      </c>
      <c r="P1014" s="219"/>
      <c r="Q1014" s="219">
        <f>Q978+Q981+Q984+Q987+Q990+Q993+Q996+Q999+Q1002+Q1005+Q1008+Q1011</f>
        <v>4927902</v>
      </c>
      <c r="S1014" t="s">
        <v>216</v>
      </c>
      <c r="T1014" s="219"/>
    </row>
    <row r="1015" spans="1:24" x14ac:dyDescent="0.2">
      <c r="A1015" s="211" t="s">
        <v>182</v>
      </c>
      <c r="Q1015" s="229" t="s">
        <v>208</v>
      </c>
      <c r="S1015" t="s">
        <v>122</v>
      </c>
    </row>
    <row r="1016" spans="1:24" x14ac:dyDescent="0.2">
      <c r="A1016" s="268" t="s">
        <v>215</v>
      </c>
      <c r="B1016" s="269"/>
      <c r="C1016" s="269"/>
      <c r="D1016" s="269"/>
      <c r="J1016" s="270" t="s">
        <v>217</v>
      </c>
      <c r="K1016" s="270" t="s">
        <v>217</v>
      </c>
      <c r="L1016" s="270" t="s">
        <v>217</v>
      </c>
      <c r="P1016" s="270" t="s">
        <v>217</v>
      </c>
      <c r="Q1016" s="219">
        <f>M1014+N1014+O1014+Q1014</f>
        <v>30641587</v>
      </c>
      <c r="R1016" t="s">
        <v>209</v>
      </c>
    </row>
    <row r="1019" spans="1:24" ht="27" x14ac:dyDescent="0.35">
      <c r="A1019" s="126" t="s">
        <v>205</v>
      </c>
      <c r="B1019" s="121"/>
      <c r="C1019" s="121"/>
      <c r="D1019" s="122"/>
      <c r="E1019" s="121"/>
      <c r="F1019" s="121"/>
      <c r="G1019" s="121"/>
      <c r="H1019" s="121"/>
      <c r="I1019" s="121"/>
      <c r="J1019" s="121"/>
      <c r="K1019" s="121"/>
      <c r="L1019" s="123"/>
      <c r="M1019" s="124"/>
      <c r="N1019" s="121"/>
      <c r="O1019" s="121"/>
      <c r="P1019" s="121"/>
      <c r="Q1019" s="121"/>
      <c r="R1019" s="121"/>
      <c r="S1019" s="121"/>
      <c r="T1019" s="121"/>
      <c r="U1019" s="121"/>
      <c r="V1019" s="121"/>
      <c r="W1019" s="125"/>
      <c r="X1019" s="121"/>
    </row>
    <row r="1020" spans="1:24" x14ac:dyDescent="0.2">
      <c r="A1020" s="52"/>
      <c r="B1020" s="52"/>
      <c r="C1020" s="21"/>
      <c r="D1020" s="115"/>
      <c r="E1020" s="52"/>
      <c r="F1020" s="115"/>
      <c r="G1020" s="248" t="s">
        <v>60</v>
      </c>
      <c r="H1020" s="115"/>
      <c r="I1020" s="115"/>
      <c r="J1020" s="115"/>
      <c r="K1020" s="52"/>
      <c r="L1020" s="115"/>
      <c r="M1020" s="52"/>
      <c r="N1020" s="52"/>
      <c r="O1020" s="52"/>
      <c r="P1020" s="52"/>
      <c r="Q1020" s="52"/>
      <c r="R1020" s="52"/>
      <c r="S1020" s="52"/>
      <c r="T1020" s="52"/>
      <c r="U1020" s="52"/>
      <c r="V1020" s="52"/>
      <c r="W1020" s="91"/>
      <c r="X1020" s="91"/>
    </row>
    <row r="1021" spans="1:24" ht="27.75" thickBot="1" x14ac:dyDescent="0.4">
      <c r="A1021" s="126" t="s">
        <v>107</v>
      </c>
      <c r="B1021" s="121"/>
      <c r="C1021" s="121"/>
      <c r="D1021" s="121"/>
      <c r="E1021" s="121"/>
      <c r="F1021" s="122"/>
      <c r="G1021" s="121"/>
      <c r="H1021" s="121"/>
      <c r="I1021" s="121"/>
      <c r="J1021" s="121"/>
      <c r="K1021" s="121"/>
      <c r="L1021" s="121"/>
      <c r="M1021" s="121"/>
      <c r="N1021" s="121"/>
      <c r="O1021" s="121"/>
      <c r="P1021" s="121"/>
      <c r="Q1021" s="121"/>
      <c r="R1021" s="121"/>
      <c r="S1021" s="121"/>
      <c r="T1021" s="121"/>
      <c r="U1021" s="121"/>
      <c r="V1021" s="121"/>
      <c r="W1021" s="125"/>
      <c r="X1021" s="125"/>
    </row>
    <row r="1022" spans="1:24" x14ac:dyDescent="0.2">
      <c r="A1022" s="174"/>
      <c r="B1022" s="173"/>
      <c r="C1022" s="173"/>
      <c r="D1022" s="173"/>
      <c r="E1022" s="173"/>
      <c r="F1022" s="173"/>
      <c r="G1022" s="173"/>
      <c r="H1022" s="173"/>
      <c r="I1022" s="173"/>
      <c r="J1022" s="173"/>
      <c r="K1022" s="173"/>
      <c r="L1022" s="173"/>
      <c r="M1022" s="173"/>
      <c r="N1022" s="173"/>
      <c r="O1022" s="173"/>
      <c r="P1022" s="173"/>
      <c r="Q1022" s="173"/>
      <c r="R1022" s="173"/>
      <c r="S1022" s="173"/>
      <c r="T1022" s="173"/>
      <c r="U1022" s="173"/>
      <c r="V1022" s="173"/>
      <c r="W1022" s="173"/>
      <c r="X1022" s="181"/>
    </row>
    <row r="1023" spans="1:24" ht="13.5" thickBot="1" x14ac:dyDescent="0.25">
      <c r="A1023" s="176"/>
      <c r="B1023" s="179" t="s">
        <v>112</v>
      </c>
      <c r="C1023" s="177"/>
      <c r="D1023" s="177"/>
      <c r="E1023" s="177"/>
      <c r="F1023" s="177"/>
      <c r="G1023" s="177"/>
      <c r="H1023" s="177"/>
      <c r="I1023" s="177"/>
      <c r="J1023" s="177"/>
      <c r="K1023" s="177"/>
      <c r="L1023" s="179" t="s">
        <v>113</v>
      </c>
      <c r="M1023" s="177"/>
      <c r="N1023" s="177"/>
      <c r="O1023" s="177"/>
      <c r="P1023" s="177"/>
      <c r="Q1023" s="177"/>
      <c r="R1023" s="177"/>
      <c r="S1023" s="177"/>
      <c r="T1023" s="177"/>
      <c r="U1023" s="177"/>
      <c r="V1023" s="177"/>
      <c r="W1023" s="177"/>
      <c r="X1023" s="182"/>
    </row>
    <row r="1024" spans="1:24" x14ac:dyDescent="0.2">
      <c r="A1024" s="175"/>
      <c r="B1024" s="155" t="s">
        <v>11</v>
      </c>
      <c r="C1024" s="155" t="s">
        <v>12</v>
      </c>
      <c r="D1024" s="155" t="s">
        <v>13</v>
      </c>
      <c r="E1024" s="155" t="s">
        <v>14</v>
      </c>
      <c r="F1024" s="155" t="s">
        <v>15</v>
      </c>
      <c r="G1024" s="193" t="s">
        <v>16</v>
      </c>
      <c r="H1024" s="21"/>
      <c r="I1024" s="155" t="s">
        <v>17</v>
      </c>
      <c r="J1024" s="21"/>
      <c r="K1024" s="21"/>
      <c r="L1024" s="21"/>
      <c r="M1024" s="21"/>
      <c r="N1024" s="155" t="s">
        <v>18</v>
      </c>
      <c r="O1024" s="155" t="s">
        <v>19</v>
      </c>
      <c r="P1024" s="155" t="s">
        <v>20</v>
      </c>
      <c r="Q1024" s="155" t="s">
        <v>21</v>
      </c>
      <c r="R1024" s="193" t="s">
        <v>16</v>
      </c>
      <c r="S1024" s="193" t="s">
        <v>114</v>
      </c>
      <c r="T1024" s="209" t="s">
        <v>127</v>
      </c>
      <c r="U1024" s="207" t="s">
        <v>138</v>
      </c>
      <c r="V1024" s="221" t="s">
        <v>136</v>
      </c>
      <c r="W1024" s="155" t="s">
        <v>7</v>
      </c>
      <c r="X1024" s="194" t="s">
        <v>70</v>
      </c>
    </row>
    <row r="1025" spans="1:24" ht="13.5" thickBot="1" x14ac:dyDescent="0.25">
      <c r="A1025" s="176"/>
      <c r="B1025" s="179" t="s">
        <v>23</v>
      </c>
      <c r="C1025" s="179" t="s">
        <v>24</v>
      </c>
      <c r="D1025" s="179" t="s">
        <v>25</v>
      </c>
      <c r="E1025" s="179" t="s">
        <v>26</v>
      </c>
      <c r="F1025" s="179" t="s">
        <v>27</v>
      </c>
      <c r="G1025" s="195" t="s">
        <v>28</v>
      </c>
      <c r="H1025" s="179"/>
      <c r="I1025" s="179" t="s">
        <v>29</v>
      </c>
      <c r="J1025" s="179" t="s">
        <v>30</v>
      </c>
      <c r="K1025" s="179" t="s">
        <v>31</v>
      </c>
      <c r="L1025" s="179" t="s">
        <v>32</v>
      </c>
      <c r="M1025" s="179" t="s">
        <v>33</v>
      </c>
      <c r="N1025" s="179" t="s">
        <v>34</v>
      </c>
      <c r="O1025" s="179" t="s">
        <v>35</v>
      </c>
      <c r="P1025" s="179" t="s">
        <v>36</v>
      </c>
      <c r="Q1025" s="179" t="s">
        <v>37</v>
      </c>
      <c r="R1025" s="195" t="s">
        <v>28</v>
      </c>
      <c r="S1025" s="195" t="s">
        <v>129</v>
      </c>
      <c r="T1025" s="210" t="s">
        <v>130</v>
      </c>
      <c r="U1025" s="179" t="s">
        <v>139</v>
      </c>
      <c r="V1025" s="222" t="s">
        <v>143</v>
      </c>
      <c r="W1025" s="179" t="s">
        <v>181</v>
      </c>
      <c r="X1025" s="196" t="s">
        <v>71</v>
      </c>
    </row>
    <row r="1026" spans="1:24" x14ac:dyDescent="0.2">
      <c r="A1026" s="175"/>
      <c r="B1026" s="117"/>
      <c r="C1026" s="117"/>
      <c r="D1026" s="117"/>
      <c r="E1026" s="117"/>
      <c r="F1026" s="117"/>
      <c r="G1026" s="178"/>
      <c r="H1026" s="52"/>
      <c r="I1026" s="117"/>
      <c r="J1026" s="117"/>
      <c r="K1026" s="117"/>
      <c r="L1026" s="117"/>
      <c r="M1026" s="117"/>
      <c r="N1026" s="117"/>
      <c r="O1026" s="117"/>
      <c r="P1026" s="117"/>
      <c r="Q1026" s="117"/>
      <c r="R1026" s="178"/>
      <c r="S1026" s="208"/>
      <c r="T1026" s="185"/>
      <c r="U1026" s="185"/>
      <c r="V1026" s="185"/>
      <c r="W1026" s="185"/>
      <c r="X1026" s="183"/>
    </row>
    <row r="1027" spans="1:24" x14ac:dyDescent="0.2">
      <c r="A1027" s="191" t="s">
        <v>41</v>
      </c>
      <c r="B1027" s="91">
        <v>0</v>
      </c>
      <c r="C1027" s="91">
        <v>1668791</v>
      </c>
      <c r="D1027" s="91">
        <v>4963738</v>
      </c>
      <c r="E1027" s="91">
        <v>2787376</v>
      </c>
      <c r="F1027" s="91">
        <v>371742</v>
      </c>
      <c r="G1027" s="180">
        <f>SUM(B1027:F1027)</f>
        <v>9791647</v>
      </c>
      <c r="H1027" s="91"/>
      <c r="I1027" s="91">
        <v>0</v>
      </c>
      <c r="J1027" s="91">
        <v>0</v>
      </c>
      <c r="K1027" s="267">
        <f>1171188+4882</f>
        <v>1176070</v>
      </c>
      <c r="L1027" s="267">
        <f>1073930+4530</f>
        <v>1078460</v>
      </c>
      <c r="M1027" s="91">
        <v>0</v>
      </c>
      <c r="N1027" s="91">
        <v>0</v>
      </c>
      <c r="O1027" s="91">
        <v>681253</v>
      </c>
      <c r="P1027" s="267">
        <f>2178482+30130</f>
        <v>2208612</v>
      </c>
      <c r="Q1027" s="91">
        <v>0</v>
      </c>
      <c r="R1027" s="180">
        <f>SUM(I1027:Q1027)</f>
        <v>5144395</v>
      </c>
      <c r="S1027" s="180">
        <v>0</v>
      </c>
      <c r="T1027" s="91">
        <v>0</v>
      </c>
      <c r="U1027" s="86">
        <v>0</v>
      </c>
      <c r="V1027" s="186">
        <v>0</v>
      </c>
      <c r="W1027" s="186">
        <f>R1027+G1027+S1027+T1027</f>
        <v>14936042</v>
      </c>
      <c r="X1027" s="46"/>
    </row>
    <row r="1028" spans="1:24" x14ac:dyDescent="0.2">
      <c r="A1028" s="191" t="s">
        <v>42</v>
      </c>
      <c r="B1028" s="91">
        <f>B1012+B1027-B978</f>
        <v>4800</v>
      </c>
      <c r="C1028" s="91">
        <f t="shared" ref="C1028:I1028" si="467">C1012+C1027-C978</f>
        <v>31289606.999999993</v>
      </c>
      <c r="D1028" s="91">
        <f t="shared" si="467"/>
        <v>49459745.999999985</v>
      </c>
      <c r="E1028" s="91">
        <f t="shared" si="467"/>
        <v>2787376.0000000559</v>
      </c>
      <c r="F1028" s="91">
        <f t="shared" si="467"/>
        <v>20339308.000000007</v>
      </c>
      <c r="G1028" s="180">
        <f t="shared" si="467"/>
        <v>103880837.00000006</v>
      </c>
      <c r="H1028" s="91"/>
      <c r="I1028" s="91">
        <f t="shared" si="467"/>
        <v>17829803</v>
      </c>
      <c r="J1028" s="91">
        <f t="shared" ref="J1028:P1028" si="468">J1012+J1027-J978</f>
        <v>11268703</v>
      </c>
      <c r="K1028" s="91">
        <f t="shared" si="468"/>
        <v>17875820</v>
      </c>
      <c r="L1028" s="91">
        <f t="shared" si="468"/>
        <v>17784453</v>
      </c>
      <c r="M1028" s="91">
        <f t="shared" si="468"/>
        <v>13243511</v>
      </c>
      <c r="N1028" s="91">
        <f t="shared" si="468"/>
        <v>2422258</v>
      </c>
      <c r="O1028" s="91">
        <f t="shared" si="468"/>
        <v>9615443</v>
      </c>
      <c r="P1028" s="91">
        <f t="shared" si="468"/>
        <v>15918219</v>
      </c>
      <c r="Q1028" s="91">
        <f t="shared" ref="Q1028:W1028" si="469">Q1012+Q1027-Q978</f>
        <v>4927902</v>
      </c>
      <c r="R1028" s="180">
        <f t="shared" si="469"/>
        <v>110886112</v>
      </c>
      <c r="S1028" s="180">
        <f t="shared" si="469"/>
        <v>30426203.729999974</v>
      </c>
      <c r="T1028" s="215">
        <f t="shared" si="469"/>
        <v>12045778.909999998</v>
      </c>
      <c r="U1028" s="86">
        <f t="shared" si="469"/>
        <v>1762203.7300000004</v>
      </c>
      <c r="V1028" s="86">
        <f t="shared" si="469"/>
        <v>0</v>
      </c>
      <c r="W1028" s="86">
        <f t="shared" si="469"/>
        <v>257238931.64000025</v>
      </c>
      <c r="X1028" s="46">
        <f>X1012+W1027</f>
        <v>9776421658.6430016</v>
      </c>
    </row>
    <row r="1029" spans="1:24" x14ac:dyDescent="0.2">
      <c r="A1029" s="191"/>
      <c r="B1029" s="52"/>
      <c r="C1029" s="52"/>
      <c r="D1029" s="52"/>
      <c r="E1029" s="52"/>
      <c r="F1029" s="52"/>
      <c r="G1029" s="180"/>
      <c r="H1029" s="91"/>
      <c r="I1029" s="52"/>
      <c r="J1029" s="52"/>
      <c r="K1029" s="52"/>
      <c r="L1029" s="52"/>
      <c r="M1029" s="52"/>
      <c r="N1029" s="52"/>
      <c r="O1029" s="52"/>
      <c r="P1029" s="52"/>
      <c r="Q1029" s="52"/>
      <c r="R1029" s="180"/>
      <c r="S1029" s="178"/>
      <c r="T1029" s="218"/>
      <c r="U1029" s="217"/>
      <c r="V1029" s="185"/>
      <c r="W1029" s="186"/>
      <c r="X1029" s="46"/>
    </row>
    <row r="1030" spans="1:24" x14ac:dyDescent="0.2">
      <c r="A1030" s="191" t="s">
        <v>43</v>
      </c>
      <c r="B1030" s="91">
        <v>0</v>
      </c>
      <c r="C1030" s="91">
        <v>1937484</v>
      </c>
      <c r="D1030" s="91">
        <v>1674415</v>
      </c>
      <c r="E1030" s="91">
        <v>496020</v>
      </c>
      <c r="F1030" s="91">
        <v>0</v>
      </c>
      <c r="G1030" s="180">
        <f>SUM(B1030:F1030)</f>
        <v>4107919</v>
      </c>
      <c r="H1030" s="91"/>
      <c r="I1030" s="91">
        <v>180744</v>
      </c>
      <c r="J1030" s="91">
        <v>0</v>
      </c>
      <c r="K1030" s="267">
        <f>1257045+4520</f>
        <v>1261565</v>
      </c>
      <c r="L1030" s="267">
        <f>1209924+4374</f>
        <v>1214298</v>
      </c>
      <c r="M1030" s="91">
        <v>0</v>
      </c>
      <c r="N1030" s="91">
        <v>0</v>
      </c>
      <c r="O1030" s="91">
        <v>127165</v>
      </c>
      <c r="P1030" s="267">
        <f>2796892+40227</f>
        <v>2837119</v>
      </c>
      <c r="Q1030" s="91">
        <v>0</v>
      </c>
      <c r="R1030" s="180">
        <f>SUM(I1030:Q1030)</f>
        <v>5620891</v>
      </c>
      <c r="S1030" s="180">
        <v>0</v>
      </c>
      <c r="T1030" s="91">
        <v>0</v>
      </c>
      <c r="U1030" s="86">
        <v>0</v>
      </c>
      <c r="V1030" s="186">
        <v>0</v>
      </c>
      <c r="W1030" s="186">
        <f>R1030+G1030+S1030+T1030</f>
        <v>9728810</v>
      </c>
      <c r="X1030" s="46"/>
    </row>
    <row r="1031" spans="1:24" x14ac:dyDescent="0.2">
      <c r="A1031" s="191" t="s">
        <v>42</v>
      </c>
      <c r="B1031" s="91">
        <f t="shared" ref="B1031:G1031" si="470">B1028+B1030-B981</f>
        <v>4800</v>
      </c>
      <c r="C1031" s="91">
        <f t="shared" si="470"/>
        <v>31283144.999999993</v>
      </c>
      <c r="D1031" s="91">
        <f t="shared" si="470"/>
        <v>48397993.999999985</v>
      </c>
      <c r="E1031" s="91">
        <f t="shared" si="470"/>
        <v>3283396.0000000559</v>
      </c>
      <c r="F1031" s="91">
        <f t="shared" si="470"/>
        <v>19491697.000000007</v>
      </c>
      <c r="G1031" s="180">
        <f t="shared" si="470"/>
        <v>102461032.00000006</v>
      </c>
      <c r="H1031" s="91"/>
      <c r="I1031" s="91">
        <f>I1028+I1030-I981</f>
        <v>18010547</v>
      </c>
      <c r="J1031" s="91">
        <f>J1028+J1030-J981</f>
        <v>11268703</v>
      </c>
      <c r="K1031" s="91">
        <f t="shared" ref="K1031:P1031" si="471">K1028+K1030-K981</f>
        <v>18226267</v>
      </c>
      <c r="L1031" s="91">
        <f t="shared" si="471"/>
        <v>17855968</v>
      </c>
      <c r="M1031" s="91">
        <f t="shared" si="471"/>
        <v>13243511</v>
      </c>
      <c r="N1031" s="91">
        <f t="shared" si="471"/>
        <v>2422258</v>
      </c>
      <c r="O1031" s="91">
        <f t="shared" si="471"/>
        <v>8803671</v>
      </c>
      <c r="P1031" s="91">
        <f t="shared" si="471"/>
        <v>16134760</v>
      </c>
      <c r="Q1031" s="91">
        <f t="shared" ref="Q1031:W1031" si="472">Q1028+Q1030-Q981</f>
        <v>4927902</v>
      </c>
      <c r="R1031" s="180">
        <f t="shared" si="472"/>
        <v>110893587</v>
      </c>
      <c r="S1031" s="180">
        <f t="shared" si="472"/>
        <v>30426203.729999974</v>
      </c>
      <c r="T1031" s="215">
        <f t="shared" si="472"/>
        <v>12045778.909999998</v>
      </c>
      <c r="U1031" s="86">
        <f t="shared" si="472"/>
        <v>1762203.7300000004</v>
      </c>
      <c r="V1031" s="86">
        <f t="shared" si="472"/>
        <v>0</v>
      </c>
      <c r="W1031" s="186">
        <f t="shared" si="472"/>
        <v>255826601.64000025</v>
      </c>
      <c r="X1031" s="46">
        <f>X1028+W1030</f>
        <v>9786150468.6430016</v>
      </c>
    </row>
    <row r="1032" spans="1:24" x14ac:dyDescent="0.2">
      <c r="A1032" s="191"/>
      <c r="B1032" s="91"/>
      <c r="C1032" s="91"/>
      <c r="D1032" s="91"/>
      <c r="E1032" s="91"/>
      <c r="F1032" s="91"/>
      <c r="G1032" s="180"/>
      <c r="H1032" s="91"/>
      <c r="I1032" s="91"/>
      <c r="J1032" s="91"/>
      <c r="K1032" s="91"/>
      <c r="L1032" s="91"/>
      <c r="M1032" s="91"/>
      <c r="N1032" s="91"/>
      <c r="O1032" s="91"/>
      <c r="P1032" s="91"/>
      <c r="Q1032" s="91"/>
      <c r="R1032" s="180"/>
      <c r="S1032" s="178"/>
      <c r="T1032" s="218"/>
      <c r="U1032" s="217"/>
      <c r="V1032" s="185"/>
      <c r="W1032" s="186"/>
      <c r="X1032" s="46"/>
    </row>
    <row r="1033" spans="1:24" x14ac:dyDescent="0.2">
      <c r="A1033" s="191" t="s">
        <v>44</v>
      </c>
      <c r="B1033" s="91">
        <v>0</v>
      </c>
      <c r="C1033" s="91">
        <v>3170062</v>
      </c>
      <c r="D1033" s="91">
        <v>3594866</v>
      </c>
      <c r="E1033" s="91">
        <v>1961766</v>
      </c>
      <c r="F1033" s="91">
        <v>310144</v>
      </c>
      <c r="G1033" s="180">
        <f>SUM(B1033:F1033)</f>
        <v>9036838</v>
      </c>
      <c r="H1033" s="91"/>
      <c r="I1033" s="91">
        <v>0</v>
      </c>
      <c r="J1033" s="91">
        <v>0</v>
      </c>
      <c r="K1033" s="267">
        <f>1726655+7149</f>
        <v>1733804</v>
      </c>
      <c r="L1033" s="267">
        <f>1655399+6828</f>
        <v>1662227</v>
      </c>
      <c r="M1033" s="91">
        <v>0</v>
      </c>
      <c r="N1033" s="91">
        <v>0</v>
      </c>
      <c r="O1033" s="91">
        <v>254266</v>
      </c>
      <c r="P1033" s="267">
        <f>2796892+43966</f>
        <v>2840858</v>
      </c>
      <c r="Q1033" s="91">
        <v>294369</v>
      </c>
      <c r="R1033" s="180">
        <f>SUM(I1033:Q1033)</f>
        <v>6785524</v>
      </c>
      <c r="S1033" s="180">
        <v>0</v>
      </c>
      <c r="T1033" s="91">
        <v>0</v>
      </c>
      <c r="U1033" s="86">
        <v>0</v>
      </c>
      <c r="V1033" s="186">
        <v>0</v>
      </c>
      <c r="W1033" s="186">
        <f>R1033+G1033+S1033+T1033</f>
        <v>15822362</v>
      </c>
      <c r="X1033" s="46"/>
    </row>
    <row r="1034" spans="1:24" x14ac:dyDescent="0.2">
      <c r="A1034" s="191" t="s">
        <v>42</v>
      </c>
      <c r="B1034" s="91">
        <f t="shared" ref="B1034:G1034" si="473">B1031+B1033-B984</f>
        <v>0</v>
      </c>
      <c r="C1034" s="91">
        <f t="shared" si="473"/>
        <v>31979271.999999993</v>
      </c>
      <c r="D1034" s="91">
        <f t="shared" si="473"/>
        <v>48273727.999999985</v>
      </c>
      <c r="E1034" s="91">
        <f t="shared" si="473"/>
        <v>5245162.0000000559</v>
      </c>
      <c r="F1034" s="91">
        <f t="shared" si="473"/>
        <v>18691667.000000007</v>
      </c>
      <c r="G1034" s="180">
        <f t="shared" si="473"/>
        <v>104189829.00000006</v>
      </c>
      <c r="H1034" s="91"/>
      <c r="I1034" s="91">
        <f t="shared" ref="I1034:W1034" si="474">I1031+I1033-I984</f>
        <v>18010547</v>
      </c>
      <c r="J1034" s="91">
        <f t="shared" si="474"/>
        <v>11268703</v>
      </c>
      <c r="K1034" s="91">
        <f t="shared" si="474"/>
        <v>18433485</v>
      </c>
      <c r="L1034" s="91">
        <f t="shared" si="474"/>
        <v>17899805</v>
      </c>
      <c r="M1034" s="91">
        <f t="shared" si="474"/>
        <v>13243511</v>
      </c>
      <c r="N1034" s="91">
        <f t="shared" si="474"/>
        <v>2422258</v>
      </c>
      <c r="O1034" s="91">
        <f t="shared" si="474"/>
        <v>7841772</v>
      </c>
      <c r="P1034" s="91">
        <f t="shared" si="474"/>
        <v>16328448</v>
      </c>
      <c r="Q1034" s="91">
        <f t="shared" si="474"/>
        <v>5222271</v>
      </c>
      <c r="R1034" s="180">
        <f t="shared" si="474"/>
        <v>110670800</v>
      </c>
      <c r="S1034" s="180">
        <f t="shared" si="474"/>
        <v>30426203.729999974</v>
      </c>
      <c r="T1034" s="215">
        <f t="shared" si="474"/>
        <v>11837768.999999998</v>
      </c>
      <c r="U1034" s="86">
        <f t="shared" si="474"/>
        <v>1762203.7300000004</v>
      </c>
      <c r="V1034" s="86">
        <f t="shared" si="474"/>
        <v>0</v>
      </c>
      <c r="W1034" s="186">
        <f t="shared" si="474"/>
        <v>257124601.73000023</v>
      </c>
      <c r="X1034" s="46">
        <f>X1031+W1033</f>
        <v>9801972830.6430016</v>
      </c>
    </row>
    <row r="1035" spans="1:24" x14ac:dyDescent="0.2">
      <c r="A1035" s="191"/>
      <c r="B1035" s="52"/>
      <c r="C1035" s="52"/>
      <c r="D1035" s="52"/>
      <c r="E1035" s="52"/>
      <c r="F1035" s="52"/>
      <c r="G1035" s="180"/>
      <c r="H1035" s="91"/>
      <c r="I1035" s="52"/>
      <c r="J1035" s="52"/>
      <c r="K1035" s="52"/>
      <c r="L1035" s="52"/>
      <c r="M1035" s="52"/>
      <c r="N1035" s="52"/>
      <c r="O1035" s="52"/>
      <c r="P1035" s="52"/>
      <c r="Q1035" s="52"/>
      <c r="R1035" s="180"/>
      <c r="S1035" s="178"/>
      <c r="T1035" s="218"/>
      <c r="U1035" s="217"/>
      <c r="V1035" s="185"/>
      <c r="W1035" s="186"/>
      <c r="X1035" s="46"/>
    </row>
    <row r="1036" spans="1:24" x14ac:dyDescent="0.2">
      <c r="A1036" s="191" t="s">
        <v>45</v>
      </c>
      <c r="B1036" s="91">
        <v>4800</v>
      </c>
      <c r="C1036" s="91">
        <v>3226264</v>
      </c>
      <c r="D1036" s="91">
        <v>2720388</v>
      </c>
      <c r="E1036" s="91">
        <v>5620281</v>
      </c>
      <c r="F1036" s="91">
        <v>0</v>
      </c>
      <c r="G1036" s="180">
        <f>SUM(B1036:F1036)</f>
        <v>11571733</v>
      </c>
      <c r="H1036" s="91"/>
      <c r="I1036" s="91">
        <v>0</v>
      </c>
      <c r="J1036" s="91">
        <v>0</v>
      </c>
      <c r="K1036" s="267">
        <f>1758717+7445</f>
        <v>1766162</v>
      </c>
      <c r="L1036" s="267">
        <f>1698599+7135</f>
        <v>1705734</v>
      </c>
      <c r="M1036" s="91">
        <v>0</v>
      </c>
      <c r="N1036" s="91">
        <v>375669</v>
      </c>
      <c r="O1036" s="91">
        <v>1661949</v>
      </c>
      <c r="P1036" s="267">
        <f>2926115+41647</f>
        <v>2967762</v>
      </c>
      <c r="Q1036" s="91">
        <v>1693833</v>
      </c>
      <c r="R1036" s="180">
        <f>SUM(I1036:Q1036)</f>
        <v>10171109</v>
      </c>
      <c r="S1036" s="180">
        <v>0</v>
      </c>
      <c r="T1036" s="91">
        <v>3008532</v>
      </c>
      <c r="U1036" s="86">
        <v>0</v>
      </c>
      <c r="V1036" s="186">
        <v>0</v>
      </c>
      <c r="W1036" s="186">
        <f>R1036+G1036+S1036+T1036</f>
        <v>24751374</v>
      </c>
      <c r="X1036" s="46"/>
    </row>
    <row r="1037" spans="1:24" x14ac:dyDescent="0.2">
      <c r="A1037" s="191" t="s">
        <v>42</v>
      </c>
      <c r="B1037" s="91">
        <f t="shared" ref="B1037:G1037" si="475">B1034+B1036-B987</f>
        <v>4800</v>
      </c>
      <c r="C1037" s="91">
        <f t="shared" si="475"/>
        <v>32668485.999999993</v>
      </c>
      <c r="D1037" s="91">
        <f t="shared" si="475"/>
        <v>46160020.999999985</v>
      </c>
      <c r="E1037" s="91">
        <f t="shared" si="475"/>
        <v>10865443.000000056</v>
      </c>
      <c r="F1037" s="91">
        <f t="shared" si="475"/>
        <v>16839810.000000007</v>
      </c>
      <c r="G1037" s="180">
        <f t="shared" si="475"/>
        <v>106538560.00000006</v>
      </c>
      <c r="H1037" s="91"/>
      <c r="I1037" s="91">
        <f t="shared" ref="I1037:W1037" si="476">I1034+I1036-I987</f>
        <v>18010547</v>
      </c>
      <c r="J1037" s="91">
        <f t="shared" si="476"/>
        <v>11268703</v>
      </c>
      <c r="K1037" s="91">
        <f t="shared" si="476"/>
        <v>18917717</v>
      </c>
      <c r="L1037" s="91">
        <f t="shared" si="476"/>
        <v>18174076</v>
      </c>
      <c r="M1037" s="91">
        <f t="shared" si="476"/>
        <v>13243511</v>
      </c>
      <c r="N1037" s="91">
        <f t="shared" si="476"/>
        <v>2797927</v>
      </c>
      <c r="O1037" s="91">
        <f t="shared" si="476"/>
        <v>8219409</v>
      </c>
      <c r="P1037" s="91">
        <f t="shared" si="476"/>
        <v>17794908</v>
      </c>
      <c r="Q1037" s="91">
        <f t="shared" si="476"/>
        <v>6916104</v>
      </c>
      <c r="R1037" s="180">
        <f t="shared" si="476"/>
        <v>115342902</v>
      </c>
      <c r="S1037" s="180">
        <f t="shared" si="476"/>
        <v>30426203.729999974</v>
      </c>
      <c r="T1037" s="215">
        <f t="shared" si="476"/>
        <v>11650860.999999998</v>
      </c>
      <c r="U1037" s="86">
        <f t="shared" si="476"/>
        <v>1762203.7300000004</v>
      </c>
      <c r="V1037" s="86">
        <f t="shared" si="476"/>
        <v>0</v>
      </c>
      <c r="W1037" s="186">
        <f t="shared" si="476"/>
        <v>263958526.73000026</v>
      </c>
      <c r="X1037" s="46">
        <f>X1034+W1036</f>
        <v>9826724204.6430016</v>
      </c>
    </row>
    <row r="1038" spans="1:24" x14ac:dyDescent="0.2">
      <c r="A1038" s="191"/>
      <c r="B1038" s="52"/>
      <c r="C1038" s="52"/>
      <c r="D1038" s="52"/>
      <c r="E1038" s="52"/>
      <c r="F1038" s="52"/>
      <c r="G1038" s="180"/>
      <c r="H1038" s="91"/>
      <c r="I1038" s="52"/>
      <c r="J1038" s="52"/>
      <c r="K1038" s="52"/>
      <c r="L1038" s="52"/>
      <c r="M1038" s="52"/>
      <c r="N1038" s="52"/>
      <c r="O1038" s="52"/>
      <c r="P1038" s="52"/>
      <c r="Q1038" s="52"/>
      <c r="R1038" s="180"/>
      <c r="S1038" s="180"/>
      <c r="T1038" s="44"/>
      <c r="U1038" s="86"/>
      <c r="V1038" s="186"/>
      <c r="W1038" s="186"/>
      <c r="X1038" s="46"/>
    </row>
    <row r="1039" spans="1:24" x14ac:dyDescent="0.2">
      <c r="A1039" s="191" t="s">
        <v>46</v>
      </c>
      <c r="B1039" s="91">
        <v>0</v>
      </c>
      <c r="C1039" s="91">
        <v>2998693</v>
      </c>
      <c r="D1039" s="91">
        <v>4276960</v>
      </c>
      <c r="E1039" s="91">
        <v>0</v>
      </c>
      <c r="F1039" s="91">
        <v>0</v>
      </c>
      <c r="G1039" s="180">
        <f>SUM(B1039:F1039)</f>
        <v>7275653</v>
      </c>
      <c r="H1039" s="91"/>
      <c r="I1039" s="91">
        <v>0</v>
      </c>
      <c r="J1039" s="91">
        <v>0</v>
      </c>
      <c r="K1039" s="267">
        <f>1729254+7065</f>
        <v>1736319</v>
      </c>
      <c r="L1039" s="267">
        <f>1697712+6931</f>
        <v>1704643</v>
      </c>
      <c r="M1039" s="91">
        <v>0</v>
      </c>
      <c r="N1039" s="91">
        <v>468665</v>
      </c>
      <c r="O1039" s="91">
        <v>1477508</v>
      </c>
      <c r="P1039" s="267">
        <f>2210510+30114</f>
        <v>2240624</v>
      </c>
      <c r="Q1039" s="91">
        <v>1305860</v>
      </c>
      <c r="R1039" s="180">
        <f>SUM(I1039:Q1039)</f>
        <v>8933619</v>
      </c>
      <c r="S1039" s="180">
        <v>2938737</v>
      </c>
      <c r="T1039" s="91">
        <v>840131</v>
      </c>
      <c r="U1039" s="86">
        <f>S1039-2799000</f>
        <v>139737</v>
      </c>
      <c r="V1039" s="186">
        <v>0</v>
      </c>
      <c r="W1039" s="186">
        <f>R1039+G1039+S1039+T1039</f>
        <v>19988140</v>
      </c>
      <c r="X1039" s="46"/>
    </row>
    <row r="1040" spans="1:24" x14ac:dyDescent="0.2">
      <c r="A1040" s="191" t="s">
        <v>42</v>
      </c>
      <c r="B1040" s="91">
        <f t="shared" ref="B1040:G1040" si="477">B1037+B1039-B990</f>
        <v>4800</v>
      </c>
      <c r="C1040" s="91">
        <f t="shared" si="477"/>
        <v>33242506.999999993</v>
      </c>
      <c r="D1040" s="91">
        <f t="shared" si="477"/>
        <v>45579614.999999985</v>
      </c>
      <c r="E1040" s="91">
        <f t="shared" si="477"/>
        <v>10865443.000000056</v>
      </c>
      <c r="F1040" s="91">
        <f t="shared" si="477"/>
        <v>14137532.000000007</v>
      </c>
      <c r="G1040" s="180">
        <f t="shared" si="477"/>
        <v>103829897.00000006</v>
      </c>
      <c r="H1040" s="91"/>
      <c r="I1040" s="91">
        <f t="shared" ref="I1040:W1040" si="478">I1037+I1039-I990</f>
        <v>18010547</v>
      </c>
      <c r="J1040" s="91">
        <f t="shared" si="478"/>
        <v>11268703</v>
      </c>
      <c r="K1040" s="91">
        <f t="shared" si="478"/>
        <v>19151344</v>
      </c>
      <c r="L1040" s="91">
        <f t="shared" si="478"/>
        <v>18383536</v>
      </c>
      <c r="M1040" s="91">
        <f t="shared" si="478"/>
        <v>13243511</v>
      </c>
      <c r="N1040" s="91">
        <f t="shared" si="478"/>
        <v>2961975</v>
      </c>
      <c r="O1040" s="91">
        <f t="shared" si="478"/>
        <v>8256493</v>
      </c>
      <c r="P1040" s="91">
        <f t="shared" si="478"/>
        <v>20035532</v>
      </c>
      <c r="Q1040" s="91">
        <f t="shared" si="478"/>
        <v>6438288</v>
      </c>
      <c r="R1040" s="180">
        <f t="shared" si="478"/>
        <v>117749929</v>
      </c>
      <c r="S1040" s="180">
        <f t="shared" si="478"/>
        <v>33134762.729999974</v>
      </c>
      <c r="T1040" s="215">
        <f t="shared" si="478"/>
        <v>7993137.9999999981</v>
      </c>
      <c r="U1040" s="86">
        <f t="shared" si="478"/>
        <v>1840562.7300000004</v>
      </c>
      <c r="V1040" s="86">
        <f t="shared" si="478"/>
        <v>0</v>
      </c>
      <c r="W1040" s="186">
        <f t="shared" si="478"/>
        <v>262707726.73000026</v>
      </c>
      <c r="X1040" s="46">
        <f>X1037+W1039</f>
        <v>9846712344.6430016</v>
      </c>
    </row>
    <row r="1041" spans="1:25" x14ac:dyDescent="0.2">
      <c r="A1041" s="191"/>
      <c r="B1041" s="52"/>
      <c r="C1041" s="52"/>
      <c r="D1041" s="52"/>
      <c r="E1041" s="52"/>
      <c r="F1041" s="52"/>
      <c r="G1041" s="180"/>
      <c r="H1041" s="91"/>
      <c r="I1041" s="52"/>
      <c r="J1041" s="52"/>
      <c r="K1041" s="52"/>
      <c r="L1041" s="52"/>
      <c r="M1041" s="52"/>
      <c r="N1041" s="52"/>
      <c r="O1041" s="52"/>
      <c r="P1041" s="52"/>
      <c r="Q1041" s="52"/>
      <c r="R1041" s="180"/>
      <c r="S1041" s="180"/>
      <c r="T1041" s="44"/>
      <c r="U1041" s="86"/>
      <c r="V1041" s="186"/>
      <c r="W1041" s="186"/>
      <c r="X1041" s="46"/>
    </row>
    <row r="1042" spans="1:25" x14ac:dyDescent="0.2">
      <c r="A1042" s="191" t="s">
        <v>47</v>
      </c>
      <c r="B1042" s="91">
        <v>4800</v>
      </c>
      <c r="C1042" s="91">
        <v>2700752</v>
      </c>
      <c r="D1042" s="91">
        <v>4055332</v>
      </c>
      <c r="E1042" s="91">
        <v>1656706</v>
      </c>
      <c r="F1042" s="91">
        <v>932860</v>
      </c>
      <c r="G1042" s="180">
        <f>SUM(B1042:F1042)</f>
        <v>9350450</v>
      </c>
      <c r="H1042" s="91"/>
      <c r="I1042" s="265">
        <v>2038816</v>
      </c>
      <c r="J1042" s="91">
        <v>0</v>
      </c>
      <c r="K1042" s="267">
        <f>1691675+6896</f>
        <v>1698571</v>
      </c>
      <c r="L1042" s="267">
        <f>1622341+6493</f>
        <v>1628834</v>
      </c>
      <c r="M1042" s="91">
        <v>1751173</v>
      </c>
      <c r="N1042" s="91">
        <v>478480</v>
      </c>
      <c r="O1042" s="91">
        <v>997297</v>
      </c>
      <c r="P1042" s="267">
        <f>1714951+21754</f>
        <v>1736705</v>
      </c>
      <c r="Q1042" s="91">
        <v>22817</v>
      </c>
      <c r="R1042" s="180">
        <f>SUM(I1042:Q1042)</f>
        <v>10352693</v>
      </c>
      <c r="S1042" s="180">
        <v>3725749</v>
      </c>
      <c r="T1042" s="91">
        <v>183457.96900000001</v>
      </c>
      <c r="U1042" s="86">
        <f>S1042-3455000</f>
        <v>270749</v>
      </c>
      <c r="V1042" s="186">
        <v>0</v>
      </c>
      <c r="W1042" s="186">
        <f>R1042+G1042+S1042+T1042</f>
        <v>23612349.969000001</v>
      </c>
      <c r="X1042" s="46"/>
    </row>
    <row r="1043" spans="1:25" x14ac:dyDescent="0.2">
      <c r="A1043" s="191" t="s">
        <v>42</v>
      </c>
      <c r="B1043" s="91">
        <f t="shared" ref="B1043:G1043" si="479">B1040+B1042-B993</f>
        <v>9600</v>
      </c>
      <c r="C1043" s="91">
        <f t="shared" si="479"/>
        <v>33181819.999999993</v>
      </c>
      <c r="D1043" s="91">
        <f t="shared" si="479"/>
        <v>44659174.999999985</v>
      </c>
      <c r="E1043" s="91">
        <f t="shared" si="479"/>
        <v>12522149.000000056</v>
      </c>
      <c r="F1043" s="91">
        <f t="shared" si="479"/>
        <v>12567523.000000007</v>
      </c>
      <c r="G1043" s="180">
        <f t="shared" si="479"/>
        <v>102940267.00000006</v>
      </c>
      <c r="H1043" s="91"/>
      <c r="I1043" s="91">
        <f t="shared" ref="I1043:W1043" si="480">I1040+I1042-I993</f>
        <v>19670120</v>
      </c>
      <c r="J1043" s="91">
        <f t="shared" si="480"/>
        <v>10575031</v>
      </c>
      <c r="K1043" s="91">
        <f t="shared" si="480"/>
        <v>19194798</v>
      </c>
      <c r="L1043" s="91">
        <f t="shared" si="480"/>
        <v>18402122</v>
      </c>
      <c r="M1043" s="91">
        <f t="shared" si="480"/>
        <v>12937583</v>
      </c>
      <c r="N1043" s="91">
        <f t="shared" si="480"/>
        <v>3087131</v>
      </c>
      <c r="O1043" s="91">
        <f t="shared" si="480"/>
        <v>8348824</v>
      </c>
      <c r="P1043" s="91">
        <f t="shared" si="480"/>
        <v>21173450</v>
      </c>
      <c r="Q1043" s="91">
        <f t="shared" si="480"/>
        <v>5059298</v>
      </c>
      <c r="R1043" s="180">
        <f t="shared" si="480"/>
        <v>118448357</v>
      </c>
      <c r="S1043" s="180">
        <f t="shared" si="480"/>
        <v>31358361.729999974</v>
      </c>
      <c r="T1043" s="215">
        <f t="shared" si="480"/>
        <v>7889263.9689999977</v>
      </c>
      <c r="U1043" s="86">
        <f t="shared" si="480"/>
        <v>1767361.7300000004</v>
      </c>
      <c r="V1043" s="86">
        <f t="shared" si="480"/>
        <v>0</v>
      </c>
      <c r="W1043" s="186">
        <f t="shared" si="480"/>
        <v>260636249.69900024</v>
      </c>
      <c r="X1043" s="46">
        <f>X1040+W1042</f>
        <v>9870324694.6120014</v>
      </c>
    </row>
    <row r="1044" spans="1:25" x14ac:dyDescent="0.2">
      <c r="A1044" s="191"/>
      <c r="B1044" s="52"/>
      <c r="C1044" s="52"/>
      <c r="D1044" s="52"/>
      <c r="E1044" s="52"/>
      <c r="F1044" s="52"/>
      <c r="G1044" s="180"/>
      <c r="H1044" s="91"/>
      <c r="I1044" s="52"/>
      <c r="J1044" s="52"/>
      <c r="K1044" s="52"/>
      <c r="L1044" s="52"/>
      <c r="M1044" s="52"/>
      <c r="N1044" s="52"/>
      <c r="O1044" s="52"/>
      <c r="P1044" s="52"/>
      <c r="Q1044" s="52"/>
      <c r="R1044" s="180"/>
      <c r="S1044" s="180" t="s">
        <v>105</v>
      </c>
      <c r="T1044" s="44"/>
      <c r="U1044" s="86"/>
      <c r="V1044" s="186"/>
      <c r="W1044" s="186"/>
      <c r="X1044" s="46"/>
    </row>
    <row r="1045" spans="1:25" x14ac:dyDescent="0.2">
      <c r="A1045" s="191" t="s">
        <v>48</v>
      </c>
      <c r="B1045" s="91">
        <v>96000</v>
      </c>
      <c r="C1045" s="91">
        <v>2825832</v>
      </c>
      <c r="D1045" s="91">
        <v>4705202</v>
      </c>
      <c r="E1045" s="91">
        <v>2587677</v>
      </c>
      <c r="F1045" s="91">
        <v>2001188</v>
      </c>
      <c r="G1045" s="180">
        <f>SUM(B1045:F1045)</f>
        <v>12215899</v>
      </c>
      <c r="H1045" s="91"/>
      <c r="I1045" s="265">
        <v>3451666</v>
      </c>
      <c r="J1045" s="267">
        <f>1300822+1191</f>
        <v>1302013</v>
      </c>
      <c r="K1045" s="267">
        <f>1940833+8785</f>
        <v>1949618</v>
      </c>
      <c r="L1045" s="267">
        <f>1836666+8099</f>
        <v>1844765</v>
      </c>
      <c r="M1045" s="91">
        <v>2053059</v>
      </c>
      <c r="N1045" s="91">
        <v>393475</v>
      </c>
      <c r="O1045" s="91">
        <v>579289</v>
      </c>
      <c r="P1045" s="267">
        <f>2336754+33162</f>
        <v>2369916</v>
      </c>
      <c r="Q1045" s="91">
        <v>1111335</v>
      </c>
      <c r="R1045" s="180">
        <f>SUM(I1045:Q1045)</f>
        <v>15055136</v>
      </c>
      <c r="S1045" s="180">
        <v>4363689</v>
      </c>
      <c r="T1045" s="91">
        <v>0</v>
      </c>
      <c r="U1045" s="180">
        <f>S1045-3888000</f>
        <v>475689</v>
      </c>
      <c r="V1045" s="186">
        <v>0</v>
      </c>
      <c r="W1045" s="186">
        <f>R1045+G1045+S1045+T1045</f>
        <v>31634724</v>
      </c>
      <c r="X1045" s="46"/>
      <c r="Y1045" s="219" t="s">
        <v>60</v>
      </c>
    </row>
    <row r="1046" spans="1:25" x14ac:dyDescent="0.2">
      <c r="A1046" s="191" t="s">
        <v>42</v>
      </c>
      <c r="B1046" s="91">
        <f t="shared" ref="B1046:G1046" si="481">B1043+B1045-B996</f>
        <v>105600</v>
      </c>
      <c r="C1046" s="91">
        <f t="shared" si="481"/>
        <v>33184462.999999993</v>
      </c>
      <c r="D1046" s="91">
        <f t="shared" si="481"/>
        <v>45004031.999999985</v>
      </c>
      <c r="E1046" s="91">
        <f t="shared" si="481"/>
        <v>15109826.000000056</v>
      </c>
      <c r="F1046" s="91">
        <f t="shared" si="481"/>
        <v>12103965.000000007</v>
      </c>
      <c r="G1046" s="180">
        <f t="shared" si="481"/>
        <v>105507886.00000006</v>
      </c>
      <c r="H1046" s="91"/>
      <c r="I1046" s="91">
        <f t="shared" ref="I1046:W1046" si="482">I1043+I1045-I996</f>
        <v>17007812</v>
      </c>
      <c r="J1046" s="91">
        <f t="shared" si="482"/>
        <v>8112806</v>
      </c>
      <c r="K1046" s="91">
        <f t="shared" si="482"/>
        <v>19873106</v>
      </c>
      <c r="L1046" s="91">
        <f t="shared" si="482"/>
        <v>18918219</v>
      </c>
      <c r="M1046" s="91">
        <f t="shared" si="482"/>
        <v>11926685</v>
      </c>
      <c r="N1046" s="91">
        <f t="shared" si="482"/>
        <v>2798627</v>
      </c>
      <c r="O1046" s="91">
        <f t="shared" si="482"/>
        <v>8928113</v>
      </c>
      <c r="P1046" s="91">
        <f t="shared" si="482"/>
        <v>23348180</v>
      </c>
      <c r="Q1046" s="91">
        <f t="shared" si="482"/>
        <v>5851752</v>
      </c>
      <c r="R1046" s="180">
        <f t="shared" si="482"/>
        <v>116765300</v>
      </c>
      <c r="S1046" s="180">
        <f t="shared" si="482"/>
        <v>28299554.999999974</v>
      </c>
      <c r="T1046" s="215">
        <f t="shared" si="482"/>
        <v>7889263.9689999977</v>
      </c>
      <c r="U1046" s="86">
        <f t="shared" si="482"/>
        <v>1878555</v>
      </c>
      <c r="V1046" s="86">
        <f t="shared" si="482"/>
        <v>0</v>
      </c>
      <c r="W1046" s="186">
        <f t="shared" si="482"/>
        <v>258462004.96900022</v>
      </c>
      <c r="X1046" s="46">
        <f>X1043+W1045</f>
        <v>9901959418.6120014</v>
      </c>
    </row>
    <row r="1047" spans="1:25" x14ac:dyDescent="0.2">
      <c r="A1047" s="191"/>
      <c r="B1047" s="52"/>
      <c r="C1047" s="52"/>
      <c r="D1047" s="52"/>
      <c r="E1047" s="52"/>
      <c r="F1047" s="52"/>
      <c r="G1047" s="180"/>
      <c r="H1047" s="91"/>
      <c r="I1047" s="52"/>
      <c r="J1047" s="52"/>
      <c r="K1047" s="52"/>
      <c r="L1047" s="52"/>
      <c r="M1047" s="52"/>
      <c r="N1047" s="52"/>
      <c r="O1047" s="52"/>
      <c r="P1047" s="52"/>
      <c r="Q1047" s="52"/>
      <c r="R1047" s="180"/>
      <c r="S1047" s="180"/>
      <c r="T1047" s="44"/>
      <c r="U1047" s="86"/>
      <c r="V1047" s="186"/>
      <c r="W1047" s="186"/>
      <c r="X1047" s="46"/>
    </row>
    <row r="1048" spans="1:25" x14ac:dyDescent="0.2">
      <c r="A1048" s="191" t="s">
        <v>49</v>
      </c>
      <c r="B1048" s="91">
        <v>100800</v>
      </c>
      <c r="C1048" s="91">
        <v>2577216</v>
      </c>
      <c r="D1048" s="91">
        <v>4567257</v>
      </c>
      <c r="E1048" s="91">
        <v>2124978</v>
      </c>
      <c r="F1048" s="91">
        <v>1066753</v>
      </c>
      <c r="G1048" s="180">
        <f>SUM(B1048:F1048)</f>
        <v>10437004</v>
      </c>
      <c r="H1048" s="91"/>
      <c r="I1048" s="91">
        <v>5050368</v>
      </c>
      <c r="J1048" s="267">
        <f>3627496+3302</f>
        <v>3630798</v>
      </c>
      <c r="K1048" s="267">
        <f>1910936+8669</f>
        <v>1919605</v>
      </c>
      <c r="L1048" s="267">
        <f>1849925+8119</f>
        <v>1858044</v>
      </c>
      <c r="M1048" s="91">
        <v>2976737</v>
      </c>
      <c r="N1048" s="91">
        <v>284211</v>
      </c>
      <c r="O1048" s="91">
        <v>0</v>
      </c>
      <c r="P1048" s="267">
        <f>2730732+35773</f>
        <v>2766505</v>
      </c>
      <c r="Q1048" s="91">
        <v>1215344</v>
      </c>
      <c r="R1048" s="180">
        <f>SUM(I1048:Q1048)</f>
        <v>19701612</v>
      </c>
      <c r="S1048" s="180">
        <v>4182661</v>
      </c>
      <c r="T1048" s="91">
        <v>0</v>
      </c>
      <c r="U1048" s="86">
        <f>S1048-4056800</f>
        <v>125861</v>
      </c>
      <c r="V1048" s="186">
        <v>0</v>
      </c>
      <c r="W1048" s="186">
        <f>R1048+G1048+S1048+T1048</f>
        <v>34321277</v>
      </c>
      <c r="X1048" s="46"/>
    </row>
    <row r="1049" spans="1:25" x14ac:dyDescent="0.2">
      <c r="A1049" s="191" t="s">
        <v>42</v>
      </c>
      <c r="B1049" s="91">
        <f t="shared" ref="B1049:G1049" si="483">B1046+B1048-B999</f>
        <v>206400</v>
      </c>
      <c r="C1049" s="91">
        <f t="shared" si="483"/>
        <v>32456762.999999993</v>
      </c>
      <c r="D1049" s="91">
        <f t="shared" si="483"/>
        <v>45629539.999999985</v>
      </c>
      <c r="E1049" s="91">
        <f t="shared" si="483"/>
        <v>17234804.000000056</v>
      </c>
      <c r="F1049" s="91">
        <f t="shared" si="483"/>
        <v>10384384.000000007</v>
      </c>
      <c r="G1049" s="180">
        <f t="shared" si="483"/>
        <v>105911891.00000006</v>
      </c>
      <c r="H1049" s="91"/>
      <c r="I1049" s="91">
        <f t="shared" ref="I1049:W1049" si="484">I1046+I1048-I999</f>
        <v>16770847</v>
      </c>
      <c r="J1049" s="91">
        <f t="shared" si="484"/>
        <v>8197042</v>
      </c>
      <c r="K1049" s="91">
        <f t="shared" si="484"/>
        <v>19994575</v>
      </c>
      <c r="L1049" s="91">
        <f t="shared" si="484"/>
        <v>19199875</v>
      </c>
      <c r="M1049" s="91">
        <f t="shared" si="484"/>
        <v>12012750</v>
      </c>
      <c r="N1049" s="91">
        <f t="shared" si="484"/>
        <v>2438482</v>
      </c>
      <c r="O1049" s="91">
        <f t="shared" si="484"/>
        <v>8928113</v>
      </c>
      <c r="P1049" s="91">
        <f t="shared" si="484"/>
        <v>26009112</v>
      </c>
      <c r="Q1049" s="91">
        <f t="shared" si="484"/>
        <v>5643558</v>
      </c>
      <c r="R1049" s="180">
        <f t="shared" si="484"/>
        <v>119194354</v>
      </c>
      <c r="S1049" s="180">
        <f t="shared" si="484"/>
        <v>25908029.999999974</v>
      </c>
      <c r="T1049" s="215">
        <f t="shared" si="484"/>
        <v>7889263.9689999977</v>
      </c>
      <c r="U1049" s="86">
        <f t="shared" si="484"/>
        <v>1626230</v>
      </c>
      <c r="V1049" s="86">
        <f t="shared" si="484"/>
        <v>0</v>
      </c>
      <c r="W1049" s="186">
        <f t="shared" si="484"/>
        <v>258903538.96900022</v>
      </c>
      <c r="X1049" s="46">
        <f>X1046+W1048</f>
        <v>9936280695.6120014</v>
      </c>
    </row>
    <row r="1050" spans="1:25" x14ac:dyDescent="0.2">
      <c r="A1050" s="191"/>
      <c r="B1050" s="52"/>
      <c r="C1050" s="52"/>
      <c r="D1050" s="52"/>
      <c r="E1050" s="52"/>
      <c r="F1050" s="52"/>
      <c r="G1050" s="180"/>
      <c r="H1050" s="91"/>
      <c r="I1050" s="52"/>
      <c r="J1050" s="52"/>
      <c r="K1050" s="52"/>
      <c r="L1050" s="52"/>
      <c r="M1050" s="52"/>
      <c r="N1050" s="52"/>
      <c r="O1050" s="52"/>
      <c r="P1050" s="52"/>
      <c r="Q1050" s="52"/>
      <c r="R1050" s="180"/>
      <c r="S1050" s="180"/>
      <c r="T1050" s="44"/>
      <c r="U1050" s="86"/>
      <c r="V1050" s="186"/>
      <c r="W1050" s="186"/>
      <c r="X1050" s="46"/>
    </row>
    <row r="1051" spans="1:25" x14ac:dyDescent="0.2">
      <c r="A1051" s="191" t="s">
        <v>50</v>
      </c>
      <c r="B1051" s="91">
        <v>422400</v>
      </c>
      <c r="C1051" s="91">
        <v>2202171</v>
      </c>
      <c r="D1051" s="91">
        <v>4672772</v>
      </c>
      <c r="E1051" s="91">
        <v>3313095</v>
      </c>
      <c r="F1051" s="91">
        <v>0</v>
      </c>
      <c r="G1051" s="180">
        <f>SUM(B1051:F1051)</f>
        <v>10610438</v>
      </c>
      <c r="H1051" s="91"/>
      <c r="I1051" s="91">
        <v>4400509</v>
      </c>
      <c r="J1051" s="267">
        <f>3200481+2686</f>
        <v>3203167</v>
      </c>
      <c r="K1051" s="267">
        <f>1875263+8571</f>
        <v>1883834</v>
      </c>
      <c r="L1051" s="267">
        <f>1796053+8049</f>
        <v>1804102</v>
      </c>
      <c r="M1051" s="91">
        <v>3063126</v>
      </c>
      <c r="N1051" s="91">
        <v>120663</v>
      </c>
      <c r="O1051" s="91">
        <v>0</v>
      </c>
      <c r="P1051" s="267">
        <f>2946960+44949</f>
        <v>2991909</v>
      </c>
      <c r="Q1051" s="91">
        <v>1796547</v>
      </c>
      <c r="R1051" s="180">
        <f>SUM(I1051:Q1051)</f>
        <v>19263857</v>
      </c>
      <c r="S1051" s="180">
        <v>4437221.4670000002</v>
      </c>
      <c r="T1051" s="91">
        <v>0</v>
      </c>
      <c r="U1051" s="180">
        <f>S1051-4211900</f>
        <v>225321.46700000018</v>
      </c>
      <c r="V1051" s="186">
        <v>0</v>
      </c>
      <c r="W1051" s="186">
        <f>R1051+G1051+S1051+T1051</f>
        <v>34311516.467</v>
      </c>
      <c r="X1051" s="46"/>
    </row>
    <row r="1052" spans="1:25" x14ac:dyDescent="0.2">
      <c r="A1052" s="191" t="s">
        <v>42</v>
      </c>
      <c r="B1052" s="91">
        <f t="shared" ref="B1052:G1052" si="485">B1049+B1051-B1002</f>
        <v>628800</v>
      </c>
      <c r="C1052" s="91">
        <f t="shared" si="485"/>
        <v>31690743.999999993</v>
      </c>
      <c r="D1052" s="91">
        <f t="shared" si="485"/>
        <v>46744679.999999985</v>
      </c>
      <c r="E1052" s="91">
        <f t="shared" si="485"/>
        <v>20547899.000000056</v>
      </c>
      <c r="F1052" s="91">
        <f t="shared" si="485"/>
        <v>8380142.0000000075</v>
      </c>
      <c r="G1052" s="180">
        <f t="shared" si="485"/>
        <v>107992265.00000006</v>
      </c>
      <c r="H1052" s="91"/>
      <c r="I1052" s="91">
        <f t="shared" ref="I1052:W1052" si="486">I1049+I1051-I1002</f>
        <v>16865734</v>
      </c>
      <c r="J1052" s="91">
        <f t="shared" si="486"/>
        <v>8172183</v>
      </c>
      <c r="K1052" s="91">
        <f t="shared" si="486"/>
        <v>20449013</v>
      </c>
      <c r="L1052" s="91">
        <f t="shared" si="486"/>
        <v>19653169</v>
      </c>
      <c r="M1052" s="91">
        <f t="shared" si="486"/>
        <v>12871790</v>
      </c>
      <c r="N1052" s="91">
        <f t="shared" si="486"/>
        <v>2121163</v>
      </c>
      <c r="O1052" s="91">
        <f t="shared" si="486"/>
        <v>8928113</v>
      </c>
      <c r="P1052" s="91">
        <f t="shared" si="486"/>
        <v>28202935</v>
      </c>
      <c r="Q1052" s="91">
        <f t="shared" si="486"/>
        <v>7440105</v>
      </c>
      <c r="R1052" s="180">
        <f t="shared" si="486"/>
        <v>124704205</v>
      </c>
      <c r="S1052" s="180">
        <f t="shared" si="486"/>
        <v>24075472.466999974</v>
      </c>
      <c r="T1052" s="215">
        <f t="shared" si="486"/>
        <v>7889263.9689999977</v>
      </c>
      <c r="U1052" s="86">
        <f t="shared" si="486"/>
        <v>1440772.4670000002</v>
      </c>
      <c r="V1052" s="86">
        <f t="shared" si="486"/>
        <v>0</v>
      </c>
      <c r="W1052" s="186">
        <f t="shared" si="486"/>
        <v>264661206.43600023</v>
      </c>
      <c r="X1052" s="46">
        <f>X1049+W1051</f>
        <v>9970592212.0790005</v>
      </c>
    </row>
    <row r="1053" spans="1:25" x14ac:dyDescent="0.2">
      <c r="A1053" s="191"/>
      <c r="B1053" s="52"/>
      <c r="C1053" s="52"/>
      <c r="D1053" s="52"/>
      <c r="E1053" s="52"/>
      <c r="F1053" s="52"/>
      <c r="G1053" s="180"/>
      <c r="H1053" s="91"/>
      <c r="I1053" s="52"/>
      <c r="J1053" s="52"/>
      <c r="K1053" s="52"/>
      <c r="L1053" s="52"/>
      <c r="M1053" s="52"/>
      <c r="N1053" s="52"/>
      <c r="O1053" s="52"/>
      <c r="P1053" s="52"/>
      <c r="Q1053" s="52"/>
      <c r="R1053" s="180"/>
      <c r="S1053" s="180"/>
      <c r="T1053" s="44"/>
      <c r="U1053" s="86"/>
      <c r="V1053" s="186"/>
      <c r="W1053" s="186"/>
      <c r="X1053" s="46"/>
    </row>
    <row r="1054" spans="1:25" x14ac:dyDescent="0.2">
      <c r="A1054" s="191" t="s">
        <v>51</v>
      </c>
      <c r="B1054" s="91">
        <v>451200</v>
      </c>
      <c r="C1054" s="91">
        <v>1404377.2609999999</v>
      </c>
      <c r="D1054" s="91">
        <v>4016553.4619999998</v>
      </c>
      <c r="E1054" s="91">
        <v>6132208.2810000004</v>
      </c>
      <c r="F1054" s="91">
        <v>0</v>
      </c>
      <c r="G1054" s="180">
        <f>SUM(B1054:F1054)</f>
        <v>12004339.004000001</v>
      </c>
      <c r="H1054" s="91"/>
      <c r="I1054" s="91">
        <v>2360099</v>
      </c>
      <c r="J1054" s="267">
        <f>534186+398</f>
        <v>534584</v>
      </c>
      <c r="K1054" s="267">
        <f>1567729+6042</f>
        <v>1573771</v>
      </c>
      <c r="L1054" s="267">
        <f>1515603+5443</f>
        <v>1521046</v>
      </c>
      <c r="M1054" s="91">
        <v>1788373</v>
      </c>
      <c r="N1054" s="91">
        <v>129431</v>
      </c>
      <c r="O1054" s="91">
        <v>0</v>
      </c>
      <c r="P1054" s="267">
        <f>3141485+46086</f>
        <v>3187571</v>
      </c>
      <c r="Q1054" s="91">
        <f>481599+379968</f>
        <v>861567</v>
      </c>
      <c r="R1054" s="180">
        <f>SUM(I1054:Q1054)</f>
        <v>11956442</v>
      </c>
      <c r="S1054" s="180">
        <v>3039751</v>
      </c>
      <c r="T1054" s="91">
        <v>0</v>
      </c>
      <c r="U1054" s="86">
        <f>S1054-3086400</f>
        <v>-46649</v>
      </c>
      <c r="V1054" s="186">
        <v>0</v>
      </c>
      <c r="W1054" s="186">
        <f>R1054+G1054+S1054+T1054</f>
        <v>27000532.004000001</v>
      </c>
      <c r="X1054" s="46"/>
    </row>
    <row r="1055" spans="1:25" x14ac:dyDescent="0.2">
      <c r="A1055" s="191" t="s">
        <v>42</v>
      </c>
      <c r="B1055" s="91">
        <f t="shared" ref="B1055:G1055" si="487">B1052+B1054-B1005</f>
        <v>1080000</v>
      </c>
      <c r="C1055" s="91">
        <f t="shared" si="487"/>
        <v>29987440.260999992</v>
      </c>
      <c r="D1055" s="91">
        <f t="shared" si="487"/>
        <v>46809549.461999983</v>
      </c>
      <c r="E1055" s="91">
        <f t="shared" si="487"/>
        <v>26680107.281000055</v>
      </c>
      <c r="F1055" s="91">
        <f t="shared" si="487"/>
        <v>5922071.0000000075</v>
      </c>
      <c r="G1055" s="180">
        <f t="shared" si="487"/>
        <v>110479168.00400007</v>
      </c>
      <c r="H1055" s="91"/>
      <c r="I1055" s="91">
        <f t="shared" ref="I1055:W1055" si="488">I1052+I1054-I1005</f>
        <v>17762895</v>
      </c>
      <c r="J1055" s="91">
        <f t="shared" si="488"/>
        <v>8670562</v>
      </c>
      <c r="K1055" s="91">
        <f t="shared" si="488"/>
        <v>20184834</v>
      </c>
      <c r="L1055" s="91">
        <f t="shared" si="488"/>
        <v>19387598</v>
      </c>
      <c r="M1055" s="91">
        <f t="shared" si="488"/>
        <v>11683992</v>
      </c>
      <c r="N1055" s="91">
        <f t="shared" si="488"/>
        <v>2250594</v>
      </c>
      <c r="O1055" s="91">
        <f t="shared" si="488"/>
        <v>7760731</v>
      </c>
      <c r="P1055" s="91">
        <f t="shared" si="488"/>
        <v>29753537</v>
      </c>
      <c r="Q1055" s="91">
        <f t="shared" si="488"/>
        <v>8301672</v>
      </c>
      <c r="R1055" s="180">
        <f t="shared" si="488"/>
        <v>125756415</v>
      </c>
      <c r="S1055" s="180">
        <f t="shared" si="488"/>
        <v>22687808.466999974</v>
      </c>
      <c r="T1055" s="215">
        <f t="shared" si="488"/>
        <v>4140917.9689999977</v>
      </c>
      <c r="U1055" s="86">
        <f t="shared" si="488"/>
        <v>1190708.4670000002</v>
      </c>
      <c r="V1055" s="86">
        <f t="shared" si="488"/>
        <v>0</v>
      </c>
      <c r="W1055" s="186">
        <f t="shared" si="488"/>
        <v>263064309.44000024</v>
      </c>
      <c r="X1055" s="46">
        <f>X1052+W1054</f>
        <v>9997592744.0830002</v>
      </c>
    </row>
    <row r="1056" spans="1:25" x14ac:dyDescent="0.2">
      <c r="A1056" s="191"/>
      <c r="B1056" s="52"/>
      <c r="C1056" s="52"/>
      <c r="D1056" s="52"/>
      <c r="E1056" s="52"/>
      <c r="F1056" s="52"/>
      <c r="G1056" s="180"/>
      <c r="H1056" s="91"/>
      <c r="I1056" s="52"/>
      <c r="J1056" s="52"/>
      <c r="K1056" s="52"/>
      <c r="L1056" s="52"/>
      <c r="M1056" s="52"/>
      <c r="N1056" s="52"/>
      <c r="O1056" s="52"/>
      <c r="P1056" s="52"/>
      <c r="Q1056" s="52"/>
      <c r="R1056" s="180"/>
      <c r="S1056" s="180"/>
      <c r="T1056" s="44"/>
      <c r="U1056" s="86"/>
      <c r="V1056" s="186"/>
      <c r="W1056" s="186"/>
      <c r="X1056" s="46"/>
    </row>
    <row r="1057" spans="1:26" x14ac:dyDescent="0.2">
      <c r="A1057" s="191" t="s">
        <v>52</v>
      </c>
      <c r="B1057" s="91">
        <v>158400</v>
      </c>
      <c r="C1057" s="91">
        <v>2054360</v>
      </c>
      <c r="D1057" s="91">
        <v>5226813</v>
      </c>
      <c r="E1057" s="91">
        <v>6514477</v>
      </c>
      <c r="F1057" s="91">
        <v>1257116</v>
      </c>
      <c r="G1057" s="180">
        <f>SUM(B1057:F1057)</f>
        <v>15211166</v>
      </c>
      <c r="H1057" s="91"/>
      <c r="I1057" s="91">
        <v>2201207</v>
      </c>
      <c r="J1057" s="91">
        <v>0</v>
      </c>
      <c r="K1057" s="267">
        <f>1505514+5664</f>
        <v>1511178</v>
      </c>
      <c r="L1057" s="267">
        <f>1531130+5863</f>
        <v>1536993</v>
      </c>
      <c r="M1057" s="91">
        <v>2267116</v>
      </c>
      <c r="N1057" s="91">
        <v>37432</v>
      </c>
      <c r="O1057" s="91">
        <v>0</v>
      </c>
      <c r="P1057" s="267">
        <f>3063498+43738</f>
        <v>3107236</v>
      </c>
      <c r="Q1057" s="91">
        <v>549658</v>
      </c>
      <c r="R1057" s="180">
        <f>SUM(I1057:Q1057)</f>
        <v>11210820</v>
      </c>
      <c r="S1057" s="180">
        <v>4424653</v>
      </c>
      <c r="T1057" s="91">
        <v>0</v>
      </c>
      <c r="U1057" s="86">
        <f>S1057-3921600</f>
        <v>503053</v>
      </c>
      <c r="V1057" s="186">
        <v>0</v>
      </c>
      <c r="W1057" s="186">
        <f>R1057+G1057+S1057+T1057</f>
        <v>30846639</v>
      </c>
      <c r="X1057" s="46"/>
    </row>
    <row r="1058" spans="1:26" x14ac:dyDescent="0.2">
      <c r="A1058" s="191" t="s">
        <v>42</v>
      </c>
      <c r="B1058" s="91">
        <f t="shared" ref="B1058:G1058" si="489">B1055+B1057-B1008</f>
        <v>1238400</v>
      </c>
      <c r="C1058" s="91">
        <f t="shared" si="489"/>
        <v>29238871.260999992</v>
      </c>
      <c r="D1058" s="91">
        <f t="shared" si="489"/>
        <v>47815278.461999983</v>
      </c>
      <c r="E1058" s="91">
        <f t="shared" si="489"/>
        <v>33194584.281000055</v>
      </c>
      <c r="F1058" s="91">
        <f t="shared" si="489"/>
        <v>6239709.0000000075</v>
      </c>
      <c r="G1058" s="180">
        <f t="shared" si="489"/>
        <v>117726843.00400007</v>
      </c>
      <c r="H1058" s="91"/>
      <c r="I1058" s="91">
        <f t="shared" ref="I1058:W1058" si="490">I1055+I1057-I1008</f>
        <v>19683409</v>
      </c>
      <c r="J1058" s="91">
        <f t="shared" si="490"/>
        <v>8670562</v>
      </c>
      <c r="K1058" s="91">
        <f t="shared" si="490"/>
        <v>19857579</v>
      </c>
      <c r="L1058" s="91">
        <f t="shared" si="490"/>
        <v>19162576</v>
      </c>
      <c r="M1058" s="91">
        <f t="shared" si="490"/>
        <v>13899584</v>
      </c>
      <c r="N1058" s="91">
        <f t="shared" si="490"/>
        <v>2288026</v>
      </c>
      <c r="O1058" s="91">
        <f t="shared" si="490"/>
        <v>6481720</v>
      </c>
      <c r="P1058" s="91">
        <f t="shared" si="490"/>
        <v>32479132</v>
      </c>
      <c r="Q1058" s="91">
        <f t="shared" si="490"/>
        <v>8851330</v>
      </c>
      <c r="R1058" s="180">
        <f t="shared" si="490"/>
        <v>131373918</v>
      </c>
      <c r="S1058" s="180">
        <f t="shared" si="490"/>
        <v>27112461.466999974</v>
      </c>
      <c r="T1058" s="215">
        <f t="shared" si="490"/>
        <v>4032120.9689999977</v>
      </c>
      <c r="U1058" s="86">
        <f t="shared" si="490"/>
        <v>1693761.4670000002</v>
      </c>
      <c r="V1058" s="86">
        <f t="shared" si="490"/>
        <v>0</v>
      </c>
      <c r="W1058" s="186">
        <f t="shared" si="490"/>
        <v>280245343.44000024</v>
      </c>
      <c r="X1058" s="46">
        <f>X1055+W1057</f>
        <v>10028439383.083</v>
      </c>
    </row>
    <row r="1059" spans="1:26" x14ac:dyDescent="0.2">
      <c r="A1059" s="191"/>
      <c r="B1059" s="52"/>
      <c r="C1059" s="52"/>
      <c r="D1059" s="52"/>
      <c r="E1059" s="52"/>
      <c r="F1059" s="52"/>
      <c r="G1059" s="180"/>
      <c r="H1059" s="91"/>
      <c r="I1059" s="52"/>
      <c r="J1059" s="52"/>
      <c r="K1059" s="52"/>
      <c r="L1059" s="52"/>
      <c r="M1059" s="52"/>
      <c r="N1059" s="52"/>
      <c r="O1059" s="52"/>
      <c r="P1059" s="52"/>
      <c r="Q1059" s="52"/>
      <c r="R1059" s="180"/>
      <c r="S1059" s="180"/>
      <c r="T1059" s="44"/>
      <c r="U1059" s="86"/>
      <c r="V1059" s="186"/>
      <c r="W1059" s="186"/>
      <c r="X1059" s="46"/>
    </row>
    <row r="1060" spans="1:26" x14ac:dyDescent="0.2">
      <c r="A1060" s="245" t="s">
        <v>53</v>
      </c>
      <c r="B1060" s="91">
        <v>0</v>
      </c>
      <c r="C1060" s="91">
        <v>1678246</v>
      </c>
      <c r="D1060" s="91">
        <v>3658005</v>
      </c>
      <c r="E1060" s="91">
        <v>3875393</v>
      </c>
      <c r="F1060" s="91">
        <v>1366090</v>
      </c>
      <c r="G1060" s="180">
        <f>SUM(B1060:F1060)</f>
        <v>10577734</v>
      </c>
      <c r="H1060" s="91"/>
      <c r="I1060" s="91">
        <v>1179618</v>
      </c>
      <c r="J1060" s="91">
        <v>0</v>
      </c>
      <c r="K1060" s="91">
        <v>1308501</v>
      </c>
      <c r="L1060" s="91">
        <v>1289680</v>
      </c>
      <c r="M1060" s="91">
        <v>946753</v>
      </c>
      <c r="N1060" s="91">
        <v>0</v>
      </c>
      <c r="O1060" s="91">
        <v>0</v>
      </c>
      <c r="P1060" s="91">
        <v>2138914</v>
      </c>
      <c r="Q1060" s="91">
        <v>0</v>
      </c>
      <c r="R1060" s="180">
        <f>SUM(I1060:Q1060)</f>
        <v>6863466</v>
      </c>
      <c r="S1060" s="180">
        <v>3029086</v>
      </c>
      <c r="T1060" s="91">
        <v>0</v>
      </c>
      <c r="U1060" s="86">
        <f>S1060-3107200</f>
        <v>-78114</v>
      </c>
      <c r="V1060" s="186">
        <v>0</v>
      </c>
      <c r="W1060" s="186">
        <f>R1060+G1060+S1060+T1060</f>
        <v>20470286</v>
      </c>
      <c r="X1060" s="46"/>
      <c r="Z1060" s="285" t="s">
        <v>234</v>
      </c>
    </row>
    <row r="1061" spans="1:26" ht="13.5" thickBot="1" x14ac:dyDescent="0.25">
      <c r="A1061" s="192" t="s">
        <v>42</v>
      </c>
      <c r="B1061" s="187">
        <f t="shared" ref="B1061:G1061" si="491">B1058+B1060-B1011</f>
        <v>1238400</v>
      </c>
      <c r="C1061" s="187">
        <f t="shared" si="491"/>
        <v>28444248.260999992</v>
      </c>
      <c r="D1061" s="187">
        <f t="shared" si="491"/>
        <v>48132301.461999983</v>
      </c>
      <c r="E1061" s="187">
        <f t="shared" si="491"/>
        <v>37069977.281000055</v>
      </c>
      <c r="F1061" s="187">
        <f t="shared" si="491"/>
        <v>7305893.0000000075</v>
      </c>
      <c r="G1061" s="188">
        <f t="shared" si="491"/>
        <v>122190820.00400007</v>
      </c>
      <c r="H1061" s="187"/>
      <c r="I1061" s="187">
        <f t="shared" ref="I1061:W1061" si="492">I1058+I1060-I1011</f>
        <v>20863027</v>
      </c>
      <c r="J1061" s="187">
        <f t="shared" si="492"/>
        <v>8670562</v>
      </c>
      <c r="K1061" s="187">
        <f t="shared" si="492"/>
        <v>19518998</v>
      </c>
      <c r="L1061" s="187">
        <f t="shared" si="492"/>
        <v>18848826</v>
      </c>
      <c r="M1061" s="187">
        <f t="shared" si="492"/>
        <v>14846337</v>
      </c>
      <c r="N1061" s="187">
        <f t="shared" si="492"/>
        <v>2288026</v>
      </c>
      <c r="O1061" s="187">
        <f t="shared" si="492"/>
        <v>5778727</v>
      </c>
      <c r="P1061" s="187">
        <f t="shared" si="492"/>
        <v>31393731</v>
      </c>
      <c r="Q1061" s="187">
        <f t="shared" si="492"/>
        <v>8851330</v>
      </c>
      <c r="R1061" s="188">
        <f t="shared" si="492"/>
        <v>131059564</v>
      </c>
      <c r="S1061" s="188">
        <f t="shared" si="492"/>
        <v>30141547.466999974</v>
      </c>
      <c r="T1061" s="262">
        <f t="shared" si="492"/>
        <v>4032120.9689999977</v>
      </c>
      <c r="U1061" s="224">
        <f t="shared" si="492"/>
        <v>1615647.4670000002</v>
      </c>
      <c r="V1061" s="224">
        <f t="shared" si="492"/>
        <v>0</v>
      </c>
      <c r="W1061" s="189">
        <f t="shared" si="492"/>
        <v>287424052.44000024</v>
      </c>
      <c r="X1061" s="190">
        <f>X1058+W1060</f>
        <v>10048909669.083</v>
      </c>
    </row>
    <row r="1062" spans="1:26" x14ac:dyDescent="0.2">
      <c r="A1062" s="211" t="s">
        <v>214</v>
      </c>
    </row>
    <row r="1063" spans="1:26" x14ac:dyDescent="0.2">
      <c r="A1063" s="211" t="s">
        <v>142</v>
      </c>
      <c r="S1063" s="282" t="s">
        <v>232</v>
      </c>
      <c r="T1063" s="219"/>
    </row>
    <row r="1064" spans="1:26" x14ac:dyDescent="0.2">
      <c r="A1064" s="211" t="s">
        <v>182</v>
      </c>
      <c r="S1064" t="s">
        <v>122</v>
      </c>
    </row>
    <row r="1065" spans="1:26" x14ac:dyDescent="0.2">
      <c r="A1065" s="268" t="s">
        <v>215</v>
      </c>
      <c r="B1065" s="269"/>
      <c r="C1065" s="269"/>
      <c r="D1065" s="269"/>
      <c r="J1065" s="270" t="s">
        <v>217</v>
      </c>
      <c r="K1065" s="270" t="s">
        <v>217</v>
      </c>
      <c r="L1065" s="270" t="s">
        <v>217</v>
      </c>
      <c r="P1065" s="270" t="s">
        <v>217</v>
      </c>
    </row>
    <row r="1068" spans="1:26" ht="27" x14ac:dyDescent="0.35">
      <c r="A1068" s="126" t="s">
        <v>219</v>
      </c>
      <c r="B1068" s="121"/>
      <c r="C1068" s="121"/>
      <c r="D1068" s="122"/>
      <c r="E1068" s="121"/>
      <c r="F1068" s="121"/>
      <c r="G1068" s="121"/>
      <c r="H1068" s="121"/>
      <c r="I1068" s="121"/>
      <c r="J1068" s="121"/>
      <c r="K1068" s="121"/>
      <c r="L1068" s="123"/>
      <c r="M1068" s="124"/>
      <c r="N1068" s="121"/>
      <c r="O1068" s="121"/>
      <c r="P1068" s="121"/>
      <c r="Q1068" s="121"/>
      <c r="R1068" s="121"/>
      <c r="S1068" s="121"/>
      <c r="T1068" s="121"/>
      <c r="U1068" s="121"/>
      <c r="V1068" s="121"/>
      <c r="W1068" s="125"/>
      <c r="X1068" s="121"/>
    </row>
    <row r="1069" spans="1:26" x14ac:dyDescent="0.2">
      <c r="A1069" s="52"/>
      <c r="B1069" s="52"/>
      <c r="C1069" s="21"/>
      <c r="D1069" s="115"/>
      <c r="E1069" s="52"/>
      <c r="F1069" s="115"/>
      <c r="G1069" s="248" t="s">
        <v>60</v>
      </c>
      <c r="H1069" s="115"/>
      <c r="I1069" s="115"/>
      <c r="J1069" s="115"/>
      <c r="K1069" s="52"/>
      <c r="L1069" s="115"/>
      <c r="M1069" s="52"/>
      <c r="N1069" s="52"/>
      <c r="O1069" s="52"/>
      <c r="P1069" s="52"/>
      <c r="Q1069" s="52"/>
      <c r="R1069" s="52"/>
      <c r="S1069" s="52"/>
      <c r="T1069" s="52"/>
      <c r="U1069" s="52"/>
      <c r="V1069" s="52"/>
      <c r="W1069" s="91"/>
      <c r="X1069" s="91"/>
    </row>
    <row r="1070" spans="1:26" ht="27.75" thickBot="1" x14ac:dyDescent="0.4">
      <c r="A1070" s="126" t="s">
        <v>107</v>
      </c>
      <c r="B1070" s="121"/>
      <c r="C1070" s="121"/>
      <c r="D1070" s="121"/>
      <c r="E1070" s="121"/>
      <c r="F1070" s="122"/>
      <c r="G1070" s="121"/>
      <c r="H1070" s="121"/>
      <c r="I1070" s="121"/>
      <c r="J1070" s="121"/>
      <c r="K1070" s="121"/>
      <c r="L1070" s="121"/>
      <c r="M1070" s="121"/>
      <c r="N1070" s="121"/>
      <c r="O1070" s="121"/>
      <c r="P1070" s="121"/>
      <c r="Q1070" s="121"/>
      <c r="R1070" s="121"/>
      <c r="S1070" s="121"/>
      <c r="T1070" s="121"/>
      <c r="U1070" s="121"/>
      <c r="V1070" s="121"/>
      <c r="W1070" s="125"/>
      <c r="X1070" s="125"/>
    </row>
    <row r="1071" spans="1:26" x14ac:dyDescent="0.2">
      <c r="A1071" s="174"/>
      <c r="B1071" s="173"/>
      <c r="C1071" s="173"/>
      <c r="D1071" s="173"/>
      <c r="E1071" s="173"/>
      <c r="F1071" s="173"/>
      <c r="G1071" s="173"/>
      <c r="H1071" s="173"/>
      <c r="I1071" s="173"/>
      <c r="J1071" s="173"/>
      <c r="K1071" s="173"/>
      <c r="L1071" s="173"/>
      <c r="M1071" s="173"/>
      <c r="N1071" s="173"/>
      <c r="O1071" s="173"/>
      <c r="P1071" s="173"/>
      <c r="Q1071" s="173"/>
      <c r="R1071" s="173"/>
      <c r="S1071" s="173"/>
      <c r="T1071" s="173"/>
      <c r="U1071" s="173"/>
      <c r="V1071" s="173"/>
      <c r="W1071" s="173"/>
      <c r="X1071" s="181"/>
    </row>
    <row r="1072" spans="1:26" ht="13.5" thickBot="1" x14ac:dyDescent="0.25">
      <c r="A1072" s="176"/>
      <c r="B1072" s="179" t="s">
        <v>112</v>
      </c>
      <c r="C1072" s="177"/>
      <c r="D1072" s="177"/>
      <c r="E1072" s="177"/>
      <c r="F1072" s="177"/>
      <c r="G1072" s="177"/>
      <c r="H1072" s="177"/>
      <c r="I1072" s="177"/>
      <c r="J1072" s="177"/>
      <c r="K1072" s="177"/>
      <c r="L1072" s="179" t="s">
        <v>113</v>
      </c>
      <c r="M1072" s="177"/>
      <c r="N1072" s="177"/>
      <c r="O1072" s="177"/>
      <c r="P1072" s="177"/>
      <c r="Q1072" s="177"/>
      <c r="R1072" s="177"/>
      <c r="S1072" s="177"/>
      <c r="T1072" s="177"/>
      <c r="U1072" s="177"/>
      <c r="V1072" s="177"/>
      <c r="W1072" s="177"/>
      <c r="X1072" s="182"/>
    </row>
    <row r="1073" spans="1:25" x14ac:dyDescent="0.2">
      <c r="A1073" s="175"/>
      <c r="B1073" s="155" t="s">
        <v>11</v>
      </c>
      <c r="C1073" s="155" t="s">
        <v>12</v>
      </c>
      <c r="D1073" s="155" t="s">
        <v>13</v>
      </c>
      <c r="E1073" s="155" t="s">
        <v>14</v>
      </c>
      <c r="F1073" s="155" t="s">
        <v>15</v>
      </c>
      <c r="G1073" s="193" t="s">
        <v>16</v>
      </c>
      <c r="H1073" s="21"/>
      <c r="I1073" s="155" t="s">
        <v>17</v>
      </c>
      <c r="J1073" s="21"/>
      <c r="K1073" s="21"/>
      <c r="L1073" s="21"/>
      <c r="M1073" s="21"/>
      <c r="N1073" s="155" t="s">
        <v>18</v>
      </c>
      <c r="O1073" s="155" t="s">
        <v>19</v>
      </c>
      <c r="P1073" s="155" t="s">
        <v>20</v>
      </c>
      <c r="Q1073" s="155" t="s">
        <v>21</v>
      </c>
      <c r="R1073" s="193" t="s">
        <v>16</v>
      </c>
      <c r="S1073" s="193" t="s">
        <v>114</v>
      </c>
      <c r="T1073" s="209" t="s">
        <v>127</v>
      </c>
      <c r="U1073" s="207" t="s">
        <v>138</v>
      </c>
      <c r="V1073" s="221" t="s">
        <v>136</v>
      </c>
      <c r="W1073" s="155" t="s">
        <v>7</v>
      </c>
      <c r="X1073" s="194" t="s">
        <v>70</v>
      </c>
    </row>
    <row r="1074" spans="1:25" ht="13.5" thickBot="1" x14ac:dyDescent="0.25">
      <c r="A1074" s="176"/>
      <c r="B1074" s="179" t="s">
        <v>23</v>
      </c>
      <c r="C1074" s="179" t="s">
        <v>24</v>
      </c>
      <c r="D1074" s="179" t="s">
        <v>25</v>
      </c>
      <c r="E1074" s="179" t="s">
        <v>26</v>
      </c>
      <c r="F1074" s="179" t="s">
        <v>27</v>
      </c>
      <c r="G1074" s="195" t="s">
        <v>28</v>
      </c>
      <c r="H1074" s="179"/>
      <c r="I1074" s="179" t="s">
        <v>29</v>
      </c>
      <c r="J1074" s="179" t="s">
        <v>30</v>
      </c>
      <c r="K1074" s="179" t="s">
        <v>31</v>
      </c>
      <c r="L1074" s="179" t="s">
        <v>32</v>
      </c>
      <c r="M1074" s="179" t="s">
        <v>33</v>
      </c>
      <c r="N1074" s="179" t="s">
        <v>34</v>
      </c>
      <c r="O1074" s="179" t="s">
        <v>35</v>
      </c>
      <c r="P1074" s="179" t="s">
        <v>36</v>
      </c>
      <c r="Q1074" s="179" t="s">
        <v>37</v>
      </c>
      <c r="R1074" s="195" t="s">
        <v>28</v>
      </c>
      <c r="S1074" s="195" t="s">
        <v>129</v>
      </c>
      <c r="T1074" s="210" t="s">
        <v>130</v>
      </c>
      <c r="U1074" s="179" t="s">
        <v>139</v>
      </c>
      <c r="V1074" s="222" t="s">
        <v>143</v>
      </c>
      <c r="W1074" s="179" t="s">
        <v>181</v>
      </c>
      <c r="X1074" s="196" t="s">
        <v>71</v>
      </c>
    </row>
    <row r="1075" spans="1:25" x14ac:dyDescent="0.2">
      <c r="A1075" s="175"/>
      <c r="B1075" s="117"/>
      <c r="C1075" s="117"/>
      <c r="D1075" s="117"/>
      <c r="E1075" s="117"/>
      <c r="F1075" s="117"/>
      <c r="G1075" s="178"/>
      <c r="H1075" s="52"/>
      <c r="I1075" s="117"/>
      <c r="J1075" s="117"/>
      <c r="K1075" s="117"/>
      <c r="L1075" s="117"/>
      <c r="M1075" s="117"/>
      <c r="N1075" s="117"/>
      <c r="O1075" s="117"/>
      <c r="P1075" s="117"/>
      <c r="Q1075" s="117"/>
      <c r="R1075" s="178"/>
      <c r="S1075" s="208"/>
      <c r="T1075" s="185"/>
      <c r="U1075" s="185"/>
      <c r="V1075" s="185"/>
      <c r="W1075" s="185"/>
      <c r="X1075" s="183"/>
    </row>
    <row r="1076" spans="1:25" x14ac:dyDescent="0.2">
      <c r="A1076" s="191" t="s">
        <v>41</v>
      </c>
      <c r="B1076" s="91">
        <v>0</v>
      </c>
      <c r="C1076" s="91">
        <v>643088</v>
      </c>
      <c r="D1076" s="91">
        <v>3591932</v>
      </c>
      <c r="E1076" s="91">
        <v>2897039</v>
      </c>
      <c r="F1076" s="91">
        <v>1036401</v>
      </c>
      <c r="G1076" s="180">
        <f>SUM(B1076:F1076)</f>
        <v>8168460</v>
      </c>
      <c r="H1076" s="91"/>
      <c r="I1076" s="91">
        <v>2572693</v>
      </c>
      <c r="J1076" s="91">
        <v>0</v>
      </c>
      <c r="K1076" s="253">
        <v>223666</v>
      </c>
      <c r="L1076" s="253">
        <v>229087</v>
      </c>
      <c r="M1076" s="91">
        <v>2285367</v>
      </c>
      <c r="N1076" s="91">
        <v>0</v>
      </c>
      <c r="O1076" s="91">
        <v>0</v>
      </c>
      <c r="P1076" s="253">
        <v>1790299</v>
      </c>
      <c r="Q1076" s="91">
        <v>0</v>
      </c>
      <c r="R1076" s="180">
        <f>SUM(I1076:Q1076)</f>
        <v>7101112</v>
      </c>
      <c r="S1076" s="180">
        <v>3749241</v>
      </c>
      <c r="T1076" s="91">
        <v>0</v>
      </c>
      <c r="U1076" s="86">
        <f>S1076-3570000</f>
        <v>179241</v>
      </c>
      <c r="V1076" s="186">
        <v>0</v>
      </c>
      <c r="W1076" s="186">
        <f>R1076+G1076+S1076+T1076</f>
        <v>19018813</v>
      </c>
      <c r="X1076" s="46"/>
    </row>
    <row r="1077" spans="1:25" x14ac:dyDescent="0.2">
      <c r="A1077" s="191" t="s">
        <v>42</v>
      </c>
      <c r="B1077" s="91">
        <f t="shared" ref="B1077:G1077" si="493">B1061+B1076-B1027</f>
        <v>1238400</v>
      </c>
      <c r="C1077" s="91">
        <f t="shared" si="493"/>
        <v>27418545.260999992</v>
      </c>
      <c r="D1077" s="91">
        <f t="shared" si="493"/>
        <v>46760495.461999983</v>
      </c>
      <c r="E1077" s="91">
        <f t="shared" si="493"/>
        <v>37179640.281000055</v>
      </c>
      <c r="F1077" s="91">
        <f t="shared" si="493"/>
        <v>7970552.0000000075</v>
      </c>
      <c r="G1077" s="180">
        <f t="shared" si="493"/>
        <v>120567633.00400007</v>
      </c>
      <c r="H1077" s="91"/>
      <c r="I1077" s="91">
        <f t="shared" ref="I1077:W1077" si="494">I1061+I1076-I1027</f>
        <v>23435720</v>
      </c>
      <c r="J1077" s="91">
        <f t="shared" si="494"/>
        <v>8670562</v>
      </c>
      <c r="K1077" s="91">
        <f t="shared" si="494"/>
        <v>18566594</v>
      </c>
      <c r="L1077" s="91">
        <f t="shared" si="494"/>
        <v>17999453</v>
      </c>
      <c r="M1077" s="91">
        <f t="shared" si="494"/>
        <v>17131704</v>
      </c>
      <c r="N1077" s="91">
        <f t="shared" si="494"/>
        <v>2288026</v>
      </c>
      <c r="O1077" s="91">
        <f t="shared" si="494"/>
        <v>5097474</v>
      </c>
      <c r="P1077" s="91">
        <f t="shared" si="494"/>
        <v>30975418</v>
      </c>
      <c r="Q1077" s="91">
        <f t="shared" si="494"/>
        <v>8851330</v>
      </c>
      <c r="R1077" s="180">
        <f t="shared" si="494"/>
        <v>133016281</v>
      </c>
      <c r="S1077" s="180">
        <f t="shared" si="494"/>
        <v>33890788.466999978</v>
      </c>
      <c r="T1077" s="215">
        <f t="shared" si="494"/>
        <v>4032120.9689999977</v>
      </c>
      <c r="U1077" s="86">
        <f t="shared" si="494"/>
        <v>1794888.4670000002</v>
      </c>
      <c r="V1077" s="86">
        <f t="shared" si="494"/>
        <v>0</v>
      </c>
      <c r="W1077" s="86">
        <f t="shared" si="494"/>
        <v>291506823.44000024</v>
      </c>
      <c r="X1077" s="46">
        <f>X1061+W1076</f>
        <v>10067928482.083</v>
      </c>
    </row>
    <row r="1078" spans="1:25" x14ac:dyDescent="0.2">
      <c r="A1078" s="191"/>
      <c r="B1078" s="52"/>
      <c r="C1078" s="52"/>
      <c r="D1078" s="52"/>
      <c r="E1078" s="52"/>
      <c r="F1078" s="52"/>
      <c r="G1078" s="180"/>
      <c r="H1078" s="91"/>
      <c r="I1078" s="52"/>
      <c r="J1078" s="52"/>
      <c r="K1078" s="52"/>
      <c r="L1078" s="52"/>
      <c r="M1078" s="52"/>
      <c r="N1078" s="52"/>
      <c r="O1078" s="52"/>
      <c r="P1078" s="52"/>
      <c r="Q1078" s="52"/>
      <c r="R1078" s="180"/>
      <c r="S1078" s="178"/>
      <c r="T1078" s="218"/>
      <c r="U1078" s="217"/>
      <c r="V1078" s="185"/>
      <c r="W1078" s="186"/>
      <c r="X1078" s="46"/>
    </row>
    <row r="1079" spans="1:25" x14ac:dyDescent="0.2">
      <c r="A1079" s="191" t="s">
        <v>43</v>
      </c>
      <c r="B1079" s="91">
        <v>240000</v>
      </c>
      <c r="C1079" s="91">
        <v>742541</v>
      </c>
      <c r="D1079" s="91">
        <v>3676015</v>
      </c>
      <c r="E1079" s="91">
        <v>4184762</v>
      </c>
      <c r="F1079" s="91">
        <v>1084047</v>
      </c>
      <c r="G1079" s="180">
        <f>SUM(B1079:F1079)</f>
        <v>9927365</v>
      </c>
      <c r="H1079" s="91"/>
      <c r="I1079" s="91">
        <v>2651118</v>
      </c>
      <c r="J1079" s="91">
        <v>0</v>
      </c>
      <c r="K1079" s="253">
        <v>0</v>
      </c>
      <c r="L1079" s="253">
        <v>0</v>
      </c>
      <c r="M1079" s="91">
        <v>344128</v>
      </c>
      <c r="N1079" s="91">
        <v>0</v>
      </c>
      <c r="O1079" s="91">
        <v>0</v>
      </c>
      <c r="P1079" s="253">
        <v>2515457</v>
      </c>
      <c r="Q1079" s="91">
        <v>0</v>
      </c>
      <c r="R1079" s="180">
        <f>SUM(I1079:Q1079)</f>
        <v>5510703</v>
      </c>
      <c r="S1079" s="180">
        <v>3306130</v>
      </c>
      <c r="T1079" s="91">
        <v>3086947</v>
      </c>
      <c r="U1079" s="86">
        <f>S1079-3108500</f>
        <v>197630</v>
      </c>
      <c r="V1079" s="186">
        <v>0</v>
      </c>
      <c r="W1079" s="186">
        <f>R1079+G1079+S1079+T1079</f>
        <v>21831145</v>
      </c>
      <c r="X1079" s="46"/>
    </row>
    <row r="1080" spans="1:25" x14ac:dyDescent="0.2">
      <c r="A1080" s="191" t="s">
        <v>42</v>
      </c>
      <c r="B1080" s="91">
        <f t="shared" ref="B1080:G1080" si="495">B1077+B1079-B1030</f>
        <v>1478400</v>
      </c>
      <c r="C1080" s="91">
        <f t="shared" si="495"/>
        <v>26223602.260999992</v>
      </c>
      <c r="D1080" s="91">
        <f t="shared" si="495"/>
        <v>48762095.461999983</v>
      </c>
      <c r="E1080" s="91">
        <f t="shared" si="495"/>
        <v>40868382.281000055</v>
      </c>
      <c r="F1080" s="91">
        <f t="shared" si="495"/>
        <v>9054599.0000000075</v>
      </c>
      <c r="G1080" s="180">
        <f t="shared" si="495"/>
        <v>126387079.00400007</v>
      </c>
      <c r="H1080" s="91"/>
      <c r="I1080" s="91">
        <f t="shared" ref="I1080:W1080" si="496">I1077+I1079-I1030</f>
        <v>25906094</v>
      </c>
      <c r="J1080" s="91">
        <f t="shared" si="496"/>
        <v>8670562</v>
      </c>
      <c r="K1080" s="91">
        <f t="shared" si="496"/>
        <v>17305029</v>
      </c>
      <c r="L1080" s="91">
        <f t="shared" si="496"/>
        <v>16785155</v>
      </c>
      <c r="M1080" s="91">
        <f t="shared" si="496"/>
        <v>17475832</v>
      </c>
      <c r="N1080" s="91">
        <f t="shared" si="496"/>
        <v>2288026</v>
      </c>
      <c r="O1080" s="91">
        <f t="shared" si="496"/>
        <v>4970309</v>
      </c>
      <c r="P1080" s="91">
        <f t="shared" si="496"/>
        <v>30653756</v>
      </c>
      <c r="Q1080" s="91">
        <f t="shared" si="496"/>
        <v>8851330</v>
      </c>
      <c r="R1080" s="180">
        <f t="shared" si="496"/>
        <v>132906093</v>
      </c>
      <c r="S1080" s="180">
        <f t="shared" si="496"/>
        <v>37196918.466999978</v>
      </c>
      <c r="T1080" s="215">
        <f t="shared" si="496"/>
        <v>7119067.9689999977</v>
      </c>
      <c r="U1080" s="86">
        <f t="shared" si="496"/>
        <v>1992518.4670000002</v>
      </c>
      <c r="V1080" s="86">
        <f t="shared" si="496"/>
        <v>0</v>
      </c>
      <c r="W1080" s="186">
        <f t="shared" si="496"/>
        <v>303609158.44000024</v>
      </c>
      <c r="X1080" s="46">
        <f>X1077+W1079</f>
        <v>10089759627.083</v>
      </c>
    </row>
    <row r="1081" spans="1:25" x14ac:dyDescent="0.2">
      <c r="A1081" s="191"/>
      <c r="B1081" s="91"/>
      <c r="C1081" s="91"/>
      <c r="D1081" s="91"/>
      <c r="E1081" s="91"/>
      <c r="F1081" s="91"/>
      <c r="G1081" s="180"/>
      <c r="H1081" s="91"/>
      <c r="I1081" s="91"/>
      <c r="J1081" s="91"/>
      <c r="K1081" s="91"/>
      <c r="L1081" s="91"/>
      <c r="M1081" s="91"/>
      <c r="N1081" s="91"/>
      <c r="O1081" s="91"/>
      <c r="P1081" s="91"/>
      <c r="Q1081" s="91"/>
      <c r="R1081" s="180"/>
      <c r="S1081" s="178"/>
      <c r="T1081" s="218"/>
      <c r="U1081" s="217"/>
      <c r="V1081" s="185"/>
      <c r="W1081" s="186"/>
      <c r="X1081" s="46"/>
    </row>
    <row r="1082" spans="1:25" x14ac:dyDescent="0.2">
      <c r="A1082" s="191" t="s">
        <v>44</v>
      </c>
      <c r="B1082" s="91">
        <v>220800</v>
      </c>
      <c r="C1082" s="91">
        <v>762562.17700000003</v>
      </c>
      <c r="D1082" s="91">
        <v>2838279.344</v>
      </c>
      <c r="E1082" s="91">
        <v>4013398.9139999999</v>
      </c>
      <c r="F1082" s="91">
        <v>437413.96500000003</v>
      </c>
      <c r="G1082" s="180">
        <f>SUM(B1082:F1082)</f>
        <v>8272454.4000000004</v>
      </c>
      <c r="H1082" s="91"/>
      <c r="I1082" s="91">
        <v>980851</v>
      </c>
      <c r="J1082" s="91">
        <v>0</v>
      </c>
      <c r="K1082" s="253">
        <v>1215741</v>
      </c>
      <c r="L1082" s="253">
        <v>1175790</v>
      </c>
      <c r="M1082" s="91">
        <v>856368</v>
      </c>
      <c r="N1082" s="91">
        <v>0</v>
      </c>
      <c r="O1082" s="91">
        <v>684432</v>
      </c>
      <c r="P1082" s="253">
        <v>2540829</v>
      </c>
      <c r="Q1082" s="91">
        <v>0</v>
      </c>
      <c r="R1082" s="180">
        <f>SUM(I1082:Q1082)</f>
        <v>7454011</v>
      </c>
      <c r="S1082" s="180">
        <v>0</v>
      </c>
      <c r="T1082" s="91">
        <v>0</v>
      </c>
      <c r="U1082" s="86">
        <v>0</v>
      </c>
      <c r="V1082" s="186">
        <v>0</v>
      </c>
      <c r="W1082" s="186">
        <f>R1082+G1082+S1082+T1082</f>
        <v>15726465.4</v>
      </c>
      <c r="X1082" s="46"/>
      <c r="Y1082" s="219" t="s">
        <v>60</v>
      </c>
    </row>
    <row r="1083" spans="1:25" x14ac:dyDescent="0.2">
      <c r="A1083" s="191" t="s">
        <v>42</v>
      </c>
      <c r="B1083" s="91">
        <f t="shared" ref="B1083:G1083" si="497">B1080+B1082-B1033</f>
        <v>1699200</v>
      </c>
      <c r="C1083" s="91">
        <f t="shared" si="497"/>
        <v>23816102.437999994</v>
      </c>
      <c r="D1083" s="91">
        <f t="shared" si="497"/>
        <v>48005508.805999979</v>
      </c>
      <c r="E1083" s="91">
        <f t="shared" si="497"/>
        <v>42920015.195000052</v>
      </c>
      <c r="F1083" s="91">
        <f t="shared" si="497"/>
        <v>9181868.9650000073</v>
      </c>
      <c r="G1083" s="180">
        <f t="shared" si="497"/>
        <v>125622695.40400007</v>
      </c>
      <c r="H1083" s="91"/>
      <c r="I1083" s="91">
        <f t="shared" ref="I1083:W1083" si="498">I1080+I1082-I1033</f>
        <v>26886945</v>
      </c>
      <c r="J1083" s="91">
        <f t="shared" si="498"/>
        <v>8670562</v>
      </c>
      <c r="K1083" s="91">
        <f t="shared" si="498"/>
        <v>16786966</v>
      </c>
      <c r="L1083" s="91">
        <f t="shared" si="498"/>
        <v>16298718</v>
      </c>
      <c r="M1083" s="91">
        <f t="shared" si="498"/>
        <v>18332200</v>
      </c>
      <c r="N1083" s="91">
        <f t="shared" si="498"/>
        <v>2288026</v>
      </c>
      <c r="O1083" s="91">
        <f t="shared" si="498"/>
        <v>5400475</v>
      </c>
      <c r="P1083" s="91">
        <f t="shared" si="498"/>
        <v>30353727</v>
      </c>
      <c r="Q1083" s="91">
        <f t="shared" si="498"/>
        <v>8556961</v>
      </c>
      <c r="R1083" s="180">
        <f t="shared" si="498"/>
        <v>133574580</v>
      </c>
      <c r="S1083" s="180">
        <f t="shared" si="498"/>
        <v>37196918.466999978</v>
      </c>
      <c r="T1083" s="215">
        <f t="shared" si="498"/>
        <v>7119067.9689999977</v>
      </c>
      <c r="U1083" s="86">
        <f t="shared" si="498"/>
        <v>1992518.4670000002</v>
      </c>
      <c r="V1083" s="86">
        <f t="shared" si="498"/>
        <v>0</v>
      </c>
      <c r="W1083" s="186">
        <f t="shared" si="498"/>
        <v>303513261.84000021</v>
      </c>
      <c r="X1083" s="46">
        <f>X1080+W1082</f>
        <v>10105486092.483</v>
      </c>
    </row>
    <row r="1084" spans="1:25" x14ac:dyDescent="0.2">
      <c r="A1084" s="191"/>
      <c r="B1084" s="52"/>
      <c r="C1084" s="52"/>
      <c r="D1084" s="52"/>
      <c r="E1084" s="52"/>
      <c r="F1084" s="52"/>
      <c r="G1084" s="180"/>
      <c r="H1084" s="91"/>
      <c r="I1084" s="52"/>
      <c r="J1084" s="52"/>
      <c r="K1084" s="52"/>
      <c r="L1084" s="52"/>
      <c r="M1084" s="52"/>
      <c r="N1084" s="52"/>
      <c r="O1084" s="52"/>
      <c r="P1084" s="52"/>
      <c r="Q1084" s="52"/>
      <c r="R1084" s="180"/>
      <c r="S1084" s="178"/>
      <c r="T1084" s="218"/>
      <c r="U1084" s="217"/>
      <c r="V1084" s="185"/>
      <c r="W1084" s="186"/>
      <c r="X1084" s="46"/>
    </row>
    <row r="1085" spans="1:25" x14ac:dyDescent="0.2">
      <c r="A1085" s="191" t="s">
        <v>45</v>
      </c>
      <c r="B1085" s="91">
        <v>0</v>
      </c>
      <c r="C1085" s="91">
        <v>2166733</v>
      </c>
      <c r="D1085" s="91">
        <v>2301279</v>
      </c>
      <c r="E1085" s="91">
        <v>6053800</v>
      </c>
      <c r="F1085" s="91">
        <v>1746404</v>
      </c>
      <c r="G1085" s="180">
        <f>SUM(B1085:F1085)</f>
        <v>12268216</v>
      </c>
      <c r="H1085" s="91"/>
      <c r="I1085" s="91">
        <f>980821*0</f>
        <v>0</v>
      </c>
      <c r="J1085" s="91">
        <v>0</v>
      </c>
      <c r="K1085" s="253">
        <f>1693365-25</f>
        <v>1693340</v>
      </c>
      <c r="L1085" s="253">
        <v>1694054</v>
      </c>
      <c r="M1085" s="91">
        <v>1434942</v>
      </c>
      <c r="N1085" s="91">
        <v>90223</v>
      </c>
      <c r="O1085" s="91">
        <v>1266427</v>
      </c>
      <c r="P1085" s="253">
        <v>3103449</v>
      </c>
      <c r="Q1085" s="91">
        <v>0</v>
      </c>
      <c r="R1085" s="180">
        <f>SUM(I1085:Q1085)</f>
        <v>9282435</v>
      </c>
      <c r="S1085" s="180">
        <v>0</v>
      </c>
      <c r="T1085" s="91">
        <v>0</v>
      </c>
      <c r="U1085" s="86">
        <v>0</v>
      </c>
      <c r="V1085" s="186">
        <v>0</v>
      </c>
      <c r="W1085" s="186">
        <f>R1085+G1085+S1085+T1085</f>
        <v>21550651</v>
      </c>
      <c r="X1085" s="46"/>
    </row>
    <row r="1086" spans="1:25" x14ac:dyDescent="0.2">
      <c r="A1086" s="191" t="s">
        <v>42</v>
      </c>
      <c r="B1086" s="91">
        <f t="shared" ref="B1086:G1086" si="499">B1083+B1085-B1036</f>
        <v>1694400</v>
      </c>
      <c r="C1086" s="91">
        <f t="shared" si="499"/>
        <v>22756571.437999994</v>
      </c>
      <c r="D1086" s="91">
        <f t="shared" si="499"/>
        <v>47586399.805999979</v>
      </c>
      <c r="E1086" s="91">
        <f t="shared" si="499"/>
        <v>43353534.195000052</v>
      </c>
      <c r="F1086" s="91">
        <f t="shared" si="499"/>
        <v>10928272.965000007</v>
      </c>
      <c r="G1086" s="180">
        <f t="shared" si="499"/>
        <v>126319178.40400007</v>
      </c>
      <c r="H1086" s="91"/>
      <c r="I1086" s="91">
        <f t="shared" ref="I1086:W1086" si="500">I1083+I1085-I1036</f>
        <v>26886945</v>
      </c>
      <c r="J1086" s="91">
        <f t="shared" si="500"/>
        <v>8670562</v>
      </c>
      <c r="K1086" s="91">
        <f t="shared" si="500"/>
        <v>16714144</v>
      </c>
      <c r="L1086" s="91">
        <f t="shared" si="500"/>
        <v>16287038</v>
      </c>
      <c r="M1086" s="91">
        <f t="shared" si="500"/>
        <v>19767142</v>
      </c>
      <c r="N1086" s="91">
        <f t="shared" si="500"/>
        <v>2002580</v>
      </c>
      <c r="O1086" s="91">
        <f t="shared" si="500"/>
        <v>5004953</v>
      </c>
      <c r="P1086" s="91">
        <f t="shared" si="500"/>
        <v>30489414</v>
      </c>
      <c r="Q1086" s="91">
        <f t="shared" si="500"/>
        <v>6863128</v>
      </c>
      <c r="R1086" s="180">
        <f t="shared" si="500"/>
        <v>132685906</v>
      </c>
      <c r="S1086" s="180">
        <f t="shared" si="500"/>
        <v>37196918.466999978</v>
      </c>
      <c r="T1086" s="215">
        <f t="shared" si="500"/>
        <v>4110535.9689999977</v>
      </c>
      <c r="U1086" s="86">
        <f t="shared" si="500"/>
        <v>1992518.4670000002</v>
      </c>
      <c r="V1086" s="86">
        <f t="shared" si="500"/>
        <v>0</v>
      </c>
      <c r="W1086" s="186">
        <f t="shared" si="500"/>
        <v>300312538.84000021</v>
      </c>
      <c r="X1086" s="46">
        <f>X1083+W1085</f>
        <v>10127036743.483</v>
      </c>
    </row>
    <row r="1087" spans="1:25" x14ac:dyDescent="0.2">
      <c r="A1087" s="191"/>
      <c r="B1087" s="52"/>
      <c r="C1087" s="52"/>
      <c r="D1087" s="52"/>
      <c r="E1087" s="52"/>
      <c r="F1087" s="52"/>
      <c r="G1087" s="180"/>
      <c r="H1087" s="91"/>
      <c r="I1087" s="52"/>
      <c r="J1087" s="52"/>
      <c r="K1087" s="52"/>
      <c r="L1087" s="52"/>
      <c r="M1087" s="52"/>
      <c r="N1087" s="52"/>
      <c r="O1087" s="52"/>
      <c r="P1087" s="52"/>
      <c r="Q1087" s="52"/>
      <c r="R1087" s="180"/>
      <c r="S1087" s="180"/>
      <c r="T1087" s="44"/>
      <c r="U1087" s="86"/>
      <c r="V1087" s="186"/>
      <c r="W1087" s="186"/>
      <c r="X1087" s="46"/>
    </row>
    <row r="1088" spans="1:25" x14ac:dyDescent="0.2">
      <c r="A1088" s="191" t="s">
        <v>46</v>
      </c>
      <c r="B1088" s="91">
        <v>110400</v>
      </c>
      <c r="C1088" s="91">
        <v>2385805</v>
      </c>
      <c r="D1088" s="91">
        <v>3526711</v>
      </c>
      <c r="E1088" s="91">
        <v>6811660</v>
      </c>
      <c r="F1088" s="91">
        <v>1888414</v>
      </c>
      <c r="G1088" s="180">
        <f>SUM(B1088:F1088)</f>
        <v>14722990</v>
      </c>
      <c r="H1088" s="91"/>
      <c r="I1088" s="91">
        <v>968174</v>
      </c>
      <c r="J1088" s="253">
        <v>0</v>
      </c>
      <c r="K1088" s="253">
        <v>1906365</v>
      </c>
      <c r="L1088" s="253">
        <v>1874371</v>
      </c>
      <c r="M1088" s="253">
        <v>2317363</v>
      </c>
      <c r="N1088" s="253">
        <v>316413</v>
      </c>
      <c r="O1088" s="253">
        <v>1107833</v>
      </c>
      <c r="P1088" s="253">
        <v>3188000</v>
      </c>
      <c r="Q1088" s="91">
        <v>263213</v>
      </c>
      <c r="R1088" s="180">
        <f>SUM(I1088:Q1088)</f>
        <v>11941732</v>
      </c>
      <c r="S1088" s="180">
        <v>0</v>
      </c>
      <c r="T1088" s="91">
        <v>144452</v>
      </c>
      <c r="U1088" s="86">
        <v>0</v>
      </c>
      <c r="V1088" s="186">
        <v>0</v>
      </c>
      <c r="W1088" s="186">
        <f>R1088+G1088+S1088+T1088</f>
        <v>26809174</v>
      </c>
      <c r="X1088" s="46"/>
    </row>
    <row r="1089" spans="1:26" x14ac:dyDescent="0.2">
      <c r="A1089" s="191" t="s">
        <v>42</v>
      </c>
      <c r="B1089" s="91">
        <f t="shared" ref="B1089:G1089" si="501">B1086+B1088-B1039</f>
        <v>1804800</v>
      </c>
      <c r="C1089" s="91">
        <f t="shared" si="501"/>
        <v>22143683.437999994</v>
      </c>
      <c r="D1089" s="91">
        <f t="shared" si="501"/>
        <v>46836150.805999979</v>
      </c>
      <c r="E1089" s="91">
        <f t="shared" si="501"/>
        <v>50165194.195000052</v>
      </c>
      <c r="F1089" s="91">
        <f t="shared" si="501"/>
        <v>12816686.965000007</v>
      </c>
      <c r="G1089" s="180">
        <f t="shared" si="501"/>
        <v>133766515.40400007</v>
      </c>
      <c r="H1089" s="91"/>
      <c r="I1089" s="91">
        <f t="shared" ref="I1089:W1089" si="502">I1086+I1088-I1039</f>
        <v>27855119</v>
      </c>
      <c r="J1089" s="91">
        <f t="shared" si="502"/>
        <v>8670562</v>
      </c>
      <c r="K1089" s="91">
        <f t="shared" si="502"/>
        <v>16884190</v>
      </c>
      <c r="L1089" s="91">
        <f t="shared" si="502"/>
        <v>16456766</v>
      </c>
      <c r="M1089" s="91">
        <f t="shared" si="502"/>
        <v>22084505</v>
      </c>
      <c r="N1089" s="91">
        <f t="shared" si="502"/>
        <v>1850328</v>
      </c>
      <c r="O1089" s="91">
        <f t="shared" si="502"/>
        <v>4635278</v>
      </c>
      <c r="P1089" s="91">
        <f t="shared" si="502"/>
        <v>31436790</v>
      </c>
      <c r="Q1089" s="91">
        <f t="shared" si="502"/>
        <v>5820481</v>
      </c>
      <c r="R1089" s="180">
        <f t="shared" si="502"/>
        <v>135694019</v>
      </c>
      <c r="S1089" s="180">
        <f t="shared" si="502"/>
        <v>34258181.466999978</v>
      </c>
      <c r="T1089" s="215">
        <f t="shared" si="502"/>
        <v>3414856.9689999977</v>
      </c>
      <c r="U1089" s="86">
        <f t="shared" si="502"/>
        <v>1852781.4670000002</v>
      </c>
      <c r="V1089" s="86">
        <f t="shared" si="502"/>
        <v>0</v>
      </c>
      <c r="W1089" s="186">
        <f t="shared" si="502"/>
        <v>307133572.84000021</v>
      </c>
      <c r="X1089" s="46">
        <f>X1086+W1088</f>
        <v>10153845917.483</v>
      </c>
    </row>
    <row r="1090" spans="1:26" x14ac:dyDescent="0.2">
      <c r="A1090" s="191"/>
      <c r="B1090" s="52"/>
      <c r="C1090" s="52"/>
      <c r="D1090" s="52"/>
      <c r="E1090" s="52"/>
      <c r="F1090" s="52"/>
      <c r="G1090" s="180"/>
      <c r="H1090" s="91"/>
      <c r="I1090" s="52"/>
      <c r="J1090" s="52"/>
      <c r="K1090" s="52"/>
      <c r="L1090" s="52"/>
      <c r="M1090" s="52"/>
      <c r="N1090" s="52"/>
      <c r="O1090" s="52"/>
      <c r="P1090" s="52"/>
      <c r="Q1090" s="52"/>
      <c r="R1090" s="180"/>
      <c r="S1090" s="180"/>
      <c r="T1090" s="44"/>
      <c r="U1090" s="86"/>
      <c r="V1090" s="44"/>
      <c r="W1090" s="86"/>
      <c r="X1090" s="46"/>
    </row>
    <row r="1091" spans="1:26" x14ac:dyDescent="0.2">
      <c r="A1091" s="191" t="s">
        <v>47</v>
      </c>
      <c r="B1091" s="91">
        <v>556800</v>
      </c>
      <c r="C1091" s="91">
        <v>3057279</v>
      </c>
      <c r="D1091" s="91">
        <v>5990130</v>
      </c>
      <c r="E1091" s="91">
        <v>5824947</v>
      </c>
      <c r="F1091" s="91">
        <v>1632993</v>
      </c>
      <c r="G1091" s="180">
        <f>SUM(B1091:F1091)</f>
        <v>17062149</v>
      </c>
      <c r="H1091" s="91"/>
      <c r="I1091" s="91">
        <v>4845241</v>
      </c>
      <c r="J1091" s="91">
        <v>3026366</v>
      </c>
      <c r="K1091" s="253">
        <v>1795271</v>
      </c>
      <c r="L1091" s="253">
        <v>1757999</v>
      </c>
      <c r="M1091" s="91">
        <v>270281</v>
      </c>
      <c r="N1091" s="91">
        <v>0</v>
      </c>
      <c r="O1091" s="91">
        <v>0</v>
      </c>
      <c r="P1091" s="253">
        <v>3198173</v>
      </c>
      <c r="Q1091" s="91">
        <v>2308303</v>
      </c>
      <c r="R1091" s="180">
        <f>SUM(I1091:Q1091)</f>
        <v>17201634</v>
      </c>
      <c r="S1091" s="180">
        <v>3148508</v>
      </c>
      <c r="T1091" s="91">
        <v>6713734</v>
      </c>
      <c r="U1091" s="86">
        <f>S1091-3018800</f>
        <v>129708</v>
      </c>
      <c r="V1091" s="44">
        <v>0</v>
      </c>
      <c r="W1091" s="86">
        <f>R1091+G1091+S1091+T1091</f>
        <v>44126025</v>
      </c>
      <c r="X1091" s="46"/>
    </row>
    <row r="1092" spans="1:26" x14ac:dyDescent="0.2">
      <c r="A1092" s="191" t="s">
        <v>42</v>
      </c>
      <c r="B1092" s="91">
        <f t="shared" ref="B1092:G1092" si="503">B1089+B1091-B1042</f>
        <v>2356800</v>
      </c>
      <c r="C1092" s="91">
        <f t="shared" si="503"/>
        <v>22500210.437999994</v>
      </c>
      <c r="D1092" s="91">
        <f t="shared" si="503"/>
        <v>48770948.805999979</v>
      </c>
      <c r="E1092" s="91">
        <f t="shared" si="503"/>
        <v>54333435.195000052</v>
      </c>
      <c r="F1092" s="91">
        <f t="shared" si="503"/>
        <v>13516819.965000007</v>
      </c>
      <c r="G1092" s="180">
        <f t="shared" si="503"/>
        <v>141478214.40400007</v>
      </c>
      <c r="H1092" s="91"/>
      <c r="I1092" s="91">
        <f t="shared" ref="I1092:W1092" si="504">I1089+I1091-I1042</f>
        <v>30661544</v>
      </c>
      <c r="J1092" s="91">
        <f t="shared" si="504"/>
        <v>11696928</v>
      </c>
      <c r="K1092" s="91">
        <f t="shared" si="504"/>
        <v>16980890</v>
      </c>
      <c r="L1092" s="91">
        <f t="shared" si="504"/>
        <v>16585931</v>
      </c>
      <c r="M1092" s="91">
        <f t="shared" si="504"/>
        <v>20603613</v>
      </c>
      <c r="N1092" s="91">
        <f t="shared" si="504"/>
        <v>1371848</v>
      </c>
      <c r="O1092" s="91">
        <f t="shared" si="504"/>
        <v>3637981</v>
      </c>
      <c r="P1092" s="91">
        <f t="shared" si="504"/>
        <v>32898258</v>
      </c>
      <c r="Q1092" s="91">
        <f t="shared" si="504"/>
        <v>8105967</v>
      </c>
      <c r="R1092" s="180">
        <f t="shared" si="504"/>
        <v>142542960</v>
      </c>
      <c r="S1092" s="180">
        <f t="shared" si="504"/>
        <v>33680940.466999978</v>
      </c>
      <c r="T1092" s="215">
        <f t="shared" si="504"/>
        <v>9945132.9999999963</v>
      </c>
      <c r="U1092" s="86">
        <f t="shared" si="504"/>
        <v>1711740.4670000002</v>
      </c>
      <c r="V1092" s="289">
        <f t="shared" si="504"/>
        <v>0</v>
      </c>
      <c r="W1092" s="86">
        <f t="shared" si="504"/>
        <v>327647247.87100023</v>
      </c>
      <c r="X1092" s="46">
        <f>X1089+W1091</f>
        <v>10197971942.483</v>
      </c>
    </row>
    <row r="1093" spans="1:26" x14ac:dyDescent="0.2">
      <c r="A1093" s="191"/>
      <c r="B1093" s="52"/>
      <c r="C1093" s="52"/>
      <c r="D1093" s="52"/>
      <c r="E1093" s="52"/>
      <c r="F1093" s="52"/>
      <c r="G1093" s="180"/>
      <c r="H1093" s="91"/>
      <c r="I1093" s="52"/>
      <c r="J1093" s="52"/>
      <c r="K1093" s="52"/>
      <c r="L1093" s="52"/>
      <c r="M1093" s="52"/>
      <c r="N1093" s="52"/>
      <c r="O1093" s="52"/>
      <c r="P1093" s="52"/>
      <c r="Q1093" s="52"/>
      <c r="R1093" s="180"/>
      <c r="S1093" s="180" t="s">
        <v>105</v>
      </c>
      <c r="T1093" s="44"/>
      <c r="U1093" s="86"/>
      <c r="V1093" s="44"/>
      <c r="W1093" s="86"/>
      <c r="X1093" s="46"/>
    </row>
    <row r="1094" spans="1:26" x14ac:dyDescent="0.2">
      <c r="A1094" s="191" t="s">
        <v>48</v>
      </c>
      <c r="B1094" s="91">
        <v>470400</v>
      </c>
      <c r="C1094" s="91">
        <v>3592847</v>
      </c>
      <c r="D1094" s="91">
        <v>5990489</v>
      </c>
      <c r="E1094" s="91">
        <v>5249587</v>
      </c>
      <c r="F1094" s="91">
        <v>1425831</v>
      </c>
      <c r="G1094" s="180">
        <f>SUM(B1094:F1094)</f>
        <v>16729154</v>
      </c>
      <c r="H1094" s="91"/>
      <c r="I1094" s="91">
        <v>5276078</v>
      </c>
      <c r="J1094" s="287">
        <v>3335716</v>
      </c>
      <c r="K1094" s="287">
        <v>1718081</v>
      </c>
      <c r="L1094" s="287">
        <v>1748077</v>
      </c>
      <c r="M1094" s="287">
        <v>3514210</v>
      </c>
      <c r="N1094" s="287">
        <v>418498</v>
      </c>
      <c r="O1094" s="287">
        <v>0</v>
      </c>
      <c r="P1094" s="287">
        <v>3165636</v>
      </c>
      <c r="Q1094" s="287">
        <v>2276306</v>
      </c>
      <c r="R1094" s="288">
        <f>SUM(I1094:Q1094)</f>
        <v>21452602</v>
      </c>
      <c r="S1094" s="288">
        <v>10411415</v>
      </c>
      <c r="T1094" s="287">
        <v>3748424</v>
      </c>
      <c r="U1094" s="86">
        <f>S1094-10273600</f>
        <v>137815</v>
      </c>
      <c r="V1094" s="44">
        <v>0</v>
      </c>
      <c r="W1094" s="86">
        <f>R1094+G1094+S1094+T1094</f>
        <v>52341595</v>
      </c>
      <c r="X1094" s="46"/>
    </row>
    <row r="1095" spans="1:26" x14ac:dyDescent="0.2">
      <c r="A1095" s="191" t="s">
        <v>42</v>
      </c>
      <c r="B1095" s="91">
        <f t="shared" ref="B1095:G1095" si="505">B1092+B1094-B1045</f>
        <v>2731200</v>
      </c>
      <c r="C1095" s="91">
        <f t="shared" si="505"/>
        <v>23267225.437999994</v>
      </c>
      <c r="D1095" s="91">
        <f t="shared" si="505"/>
        <v>50056235.805999979</v>
      </c>
      <c r="E1095" s="91">
        <f t="shared" si="505"/>
        <v>56995345.195000052</v>
      </c>
      <c r="F1095" s="91">
        <f t="shared" si="505"/>
        <v>12941462.965000007</v>
      </c>
      <c r="G1095" s="180">
        <f t="shared" si="505"/>
        <v>145991469.40400007</v>
      </c>
      <c r="H1095" s="91"/>
      <c r="I1095" s="91">
        <f t="shared" ref="I1095:W1095" si="506">I1092+I1094-I1045</f>
        <v>32485956</v>
      </c>
      <c r="J1095" s="91">
        <f t="shared" si="506"/>
        <v>13730631</v>
      </c>
      <c r="K1095" s="91">
        <f t="shared" si="506"/>
        <v>16749353</v>
      </c>
      <c r="L1095" s="91">
        <f t="shared" si="506"/>
        <v>16489243</v>
      </c>
      <c r="M1095" s="91">
        <f t="shared" si="506"/>
        <v>22064764</v>
      </c>
      <c r="N1095" s="91">
        <f t="shared" si="506"/>
        <v>1396871</v>
      </c>
      <c r="O1095" s="91">
        <f t="shared" si="506"/>
        <v>3058692</v>
      </c>
      <c r="P1095" s="91">
        <f t="shared" si="506"/>
        <v>33693978</v>
      </c>
      <c r="Q1095" s="91">
        <f t="shared" si="506"/>
        <v>9270938</v>
      </c>
      <c r="R1095" s="180">
        <f t="shared" si="506"/>
        <v>148940426</v>
      </c>
      <c r="S1095" s="180">
        <f t="shared" si="506"/>
        <v>39728666.466999978</v>
      </c>
      <c r="T1095" s="215">
        <f t="shared" si="506"/>
        <v>13693556.999999996</v>
      </c>
      <c r="U1095" s="86">
        <f t="shared" si="506"/>
        <v>1373866.4670000002</v>
      </c>
      <c r="V1095" s="289">
        <f t="shared" si="506"/>
        <v>0</v>
      </c>
      <c r="W1095" s="86">
        <f t="shared" si="506"/>
        <v>348354118.87100023</v>
      </c>
      <c r="X1095" s="46">
        <f>X1092+W1094</f>
        <v>10250313537.483</v>
      </c>
    </row>
    <row r="1096" spans="1:26" x14ac:dyDescent="0.2">
      <c r="A1096" s="191"/>
      <c r="B1096" s="52"/>
      <c r="C1096" s="52"/>
      <c r="D1096" s="52"/>
      <c r="E1096" s="52"/>
      <c r="F1096" s="52"/>
      <c r="G1096" s="180"/>
      <c r="H1096" s="91"/>
      <c r="I1096" s="52"/>
      <c r="J1096" s="52"/>
      <c r="K1096" s="52"/>
      <c r="L1096" s="52"/>
      <c r="M1096" s="52"/>
      <c r="N1096" s="52"/>
      <c r="O1096" s="52"/>
      <c r="P1096" s="52"/>
      <c r="Q1096" s="52"/>
      <c r="R1096" s="180"/>
      <c r="S1096" s="180"/>
      <c r="T1096" s="44"/>
      <c r="U1096" s="86"/>
      <c r="V1096" s="44"/>
      <c r="W1096" s="86"/>
      <c r="X1096" s="46"/>
    </row>
    <row r="1097" spans="1:26" x14ac:dyDescent="0.2">
      <c r="A1097" s="191" t="s">
        <v>49</v>
      </c>
      <c r="B1097" s="91">
        <v>398400</v>
      </c>
      <c r="C1097" s="91">
        <v>3167305.3480000002</v>
      </c>
      <c r="D1097" s="91">
        <v>5937750.1040000003</v>
      </c>
      <c r="E1097" s="91">
        <v>4322795.74</v>
      </c>
      <c r="F1097" s="91">
        <v>1407403.68</v>
      </c>
      <c r="G1097" s="180">
        <f>SUM(B1097:F1097)</f>
        <v>15233654.872</v>
      </c>
      <c r="H1097" s="91"/>
      <c r="I1097" s="91">
        <v>5673280</v>
      </c>
      <c r="J1097" s="91">
        <v>3988578</v>
      </c>
      <c r="K1097" s="253">
        <v>1864423</v>
      </c>
      <c r="L1097" s="253">
        <v>1764196</v>
      </c>
      <c r="M1097" s="91">
        <v>3225771</v>
      </c>
      <c r="N1097" s="91">
        <v>583594</v>
      </c>
      <c r="O1097" s="91">
        <v>0</v>
      </c>
      <c r="P1097" s="253">
        <v>2916937</v>
      </c>
      <c r="Q1097" s="91">
        <v>2396873</v>
      </c>
      <c r="R1097" s="180">
        <f>SUM(I1097:Q1097)</f>
        <v>22413652</v>
      </c>
      <c r="S1097" s="180">
        <v>12514189</v>
      </c>
      <c r="T1097" s="91">
        <v>4273992</v>
      </c>
      <c r="U1097" s="86">
        <f>S1097-12073000</f>
        <v>441189</v>
      </c>
      <c r="V1097" s="44">
        <v>0</v>
      </c>
      <c r="W1097" s="86">
        <f>R1097+G1097+S1097+T1097</f>
        <v>54435487.872000001</v>
      </c>
      <c r="X1097" s="46"/>
      <c r="Z1097" s="219">
        <f>W1097-U1097-53994299</f>
        <v>-0.12799999862909317</v>
      </c>
    </row>
    <row r="1098" spans="1:26" x14ac:dyDescent="0.2">
      <c r="A1098" s="191" t="s">
        <v>42</v>
      </c>
      <c r="B1098" s="91">
        <f t="shared" ref="B1098:G1098" si="507">B1095+B1097-B1048</f>
        <v>3028800</v>
      </c>
      <c r="C1098" s="91">
        <f t="shared" si="507"/>
        <v>23857314.785999995</v>
      </c>
      <c r="D1098" s="91">
        <f t="shared" si="507"/>
        <v>51426728.909999982</v>
      </c>
      <c r="E1098" s="91">
        <f t="shared" si="507"/>
        <v>59193162.935000055</v>
      </c>
      <c r="F1098" s="91">
        <f t="shared" si="507"/>
        <v>13282113.645000007</v>
      </c>
      <c r="G1098" s="180">
        <f t="shared" si="507"/>
        <v>150788120.27600008</v>
      </c>
      <c r="H1098" s="91"/>
      <c r="I1098" s="91">
        <f t="shared" ref="I1098:W1098" si="508">I1095+I1097-I1048</f>
        <v>33108868</v>
      </c>
      <c r="J1098" s="91">
        <f t="shared" si="508"/>
        <v>14088411</v>
      </c>
      <c r="K1098" s="91">
        <f t="shared" si="508"/>
        <v>16694171</v>
      </c>
      <c r="L1098" s="91">
        <f t="shared" si="508"/>
        <v>16395395</v>
      </c>
      <c r="M1098" s="91">
        <f t="shared" si="508"/>
        <v>22313798</v>
      </c>
      <c r="N1098" s="91">
        <f t="shared" si="508"/>
        <v>1696254</v>
      </c>
      <c r="O1098" s="91">
        <f t="shared" si="508"/>
        <v>3058692</v>
      </c>
      <c r="P1098" s="91">
        <f t="shared" si="508"/>
        <v>33844410</v>
      </c>
      <c r="Q1098" s="91">
        <f t="shared" si="508"/>
        <v>10452467</v>
      </c>
      <c r="R1098" s="180">
        <f t="shared" si="508"/>
        <v>151652466</v>
      </c>
      <c r="S1098" s="180">
        <f t="shared" si="508"/>
        <v>48060194.466999978</v>
      </c>
      <c r="T1098" s="215">
        <f t="shared" si="508"/>
        <v>17967548.999999996</v>
      </c>
      <c r="U1098" s="86">
        <f t="shared" si="508"/>
        <v>1689194.4670000002</v>
      </c>
      <c r="V1098" s="289">
        <f t="shared" si="508"/>
        <v>0</v>
      </c>
      <c r="W1098" s="86">
        <f t="shared" si="508"/>
        <v>368468329.74300021</v>
      </c>
      <c r="X1098" s="46">
        <f>X1095+W1097</f>
        <v>10304749025.355</v>
      </c>
    </row>
    <row r="1099" spans="1:26" x14ac:dyDescent="0.2">
      <c r="A1099" s="191"/>
      <c r="B1099" s="52"/>
      <c r="C1099" s="52"/>
      <c r="D1099" s="52"/>
      <c r="E1099" s="52"/>
      <c r="F1099" s="52"/>
      <c r="G1099" s="180"/>
      <c r="H1099" s="91"/>
      <c r="I1099" s="52"/>
      <c r="J1099" s="52"/>
      <c r="K1099" s="52"/>
      <c r="L1099" s="52"/>
      <c r="M1099" s="52"/>
      <c r="N1099" s="52"/>
      <c r="O1099" s="52"/>
      <c r="P1099" s="52"/>
      <c r="Q1099" s="52"/>
      <c r="R1099" s="180"/>
      <c r="S1099" s="180"/>
      <c r="T1099" s="44"/>
      <c r="U1099" s="86"/>
      <c r="V1099" s="44"/>
      <c r="W1099" s="86"/>
      <c r="X1099" s="46"/>
    </row>
    <row r="1100" spans="1:26" x14ac:dyDescent="0.2">
      <c r="A1100" s="191" t="s">
        <v>50</v>
      </c>
      <c r="B1100" s="91">
        <v>427200</v>
      </c>
      <c r="C1100" s="91">
        <v>2843476.26</v>
      </c>
      <c r="D1100" s="91">
        <v>5382869.4649999999</v>
      </c>
      <c r="E1100" s="91">
        <v>2445911.946</v>
      </c>
      <c r="F1100" s="91">
        <v>1126731.6270000001</v>
      </c>
      <c r="G1100" s="180">
        <f>SUM(B1100:F1100)</f>
        <v>12226189.298</v>
      </c>
      <c r="H1100" s="91"/>
      <c r="I1100" s="91">
        <v>5011360</v>
      </c>
      <c r="J1100" s="91">
        <v>3635293</v>
      </c>
      <c r="K1100" s="253">
        <v>1712965</v>
      </c>
      <c r="L1100" s="253">
        <v>1601232</v>
      </c>
      <c r="M1100" s="91">
        <v>3421952</v>
      </c>
      <c r="N1100" s="91">
        <v>532436</v>
      </c>
      <c r="O1100" s="91">
        <v>0</v>
      </c>
      <c r="P1100" s="253">
        <v>2061086</v>
      </c>
      <c r="Q1100" s="91">
        <v>2091514</v>
      </c>
      <c r="R1100" s="180">
        <f>SUM(I1100:Q1100)</f>
        <v>20067838</v>
      </c>
      <c r="S1100" s="180">
        <v>11778228</v>
      </c>
      <c r="T1100" s="91">
        <v>5255258</v>
      </c>
      <c r="U1100" s="86">
        <f>S1100-11760000</f>
        <v>18228</v>
      </c>
      <c r="V1100" s="44">
        <v>0</v>
      </c>
      <c r="W1100" s="86">
        <f>R1100+G1100+S1100+T1100</f>
        <v>49327513.298</v>
      </c>
      <c r="X1100" s="46"/>
      <c r="Z1100" s="219">
        <f>W1100-U1100-49309285</f>
        <v>0.29800000041723251</v>
      </c>
    </row>
    <row r="1101" spans="1:26" x14ac:dyDescent="0.2">
      <c r="A1101" s="191" t="s">
        <v>42</v>
      </c>
      <c r="B1101" s="91">
        <f t="shared" ref="B1101:G1101" si="509">B1098+B1100-B1051</f>
        <v>3033600</v>
      </c>
      <c r="C1101" s="91">
        <f t="shared" si="509"/>
        <v>24498620.045999996</v>
      </c>
      <c r="D1101" s="91">
        <f t="shared" si="509"/>
        <v>52136826.374999985</v>
      </c>
      <c r="E1101" s="91">
        <f t="shared" si="509"/>
        <v>58325979.881000057</v>
      </c>
      <c r="F1101" s="91">
        <f t="shared" si="509"/>
        <v>14408845.272000007</v>
      </c>
      <c r="G1101" s="180">
        <f t="shared" si="509"/>
        <v>152403871.57400009</v>
      </c>
      <c r="H1101" s="91"/>
      <c r="I1101" s="91">
        <f t="shared" ref="I1101:W1101" si="510">I1098+I1100-I1051</f>
        <v>33719719</v>
      </c>
      <c r="J1101" s="91">
        <f t="shared" si="510"/>
        <v>14520537</v>
      </c>
      <c r="K1101" s="91">
        <f t="shared" si="510"/>
        <v>16523302</v>
      </c>
      <c r="L1101" s="91">
        <f t="shared" si="510"/>
        <v>16192525</v>
      </c>
      <c r="M1101" s="91">
        <f t="shared" si="510"/>
        <v>22672624</v>
      </c>
      <c r="N1101" s="91">
        <f t="shared" si="510"/>
        <v>2108027</v>
      </c>
      <c r="O1101" s="91">
        <f t="shared" si="510"/>
        <v>3058692</v>
      </c>
      <c r="P1101" s="91">
        <f t="shared" si="510"/>
        <v>32913587</v>
      </c>
      <c r="Q1101" s="91">
        <f t="shared" si="510"/>
        <v>10747434</v>
      </c>
      <c r="R1101" s="180">
        <f t="shared" si="510"/>
        <v>152456447</v>
      </c>
      <c r="S1101" s="180">
        <f t="shared" si="510"/>
        <v>55401200.999999978</v>
      </c>
      <c r="T1101" s="215">
        <f t="shared" si="510"/>
        <v>23222806.999999996</v>
      </c>
      <c r="U1101" s="86">
        <f t="shared" si="510"/>
        <v>1482101</v>
      </c>
      <c r="V1101" s="289">
        <f t="shared" si="510"/>
        <v>0</v>
      </c>
      <c r="W1101" s="86">
        <f t="shared" si="510"/>
        <v>383484326.57400018</v>
      </c>
      <c r="X1101" s="46">
        <f>X1098+W1100</f>
        <v>10354076538.653</v>
      </c>
    </row>
    <row r="1102" spans="1:26" x14ac:dyDescent="0.2">
      <c r="A1102" s="191"/>
      <c r="B1102" s="52"/>
      <c r="C1102" s="52"/>
      <c r="D1102" s="52"/>
      <c r="E1102" s="52"/>
      <c r="F1102" s="52"/>
      <c r="G1102" s="180"/>
      <c r="H1102" s="91"/>
      <c r="I1102" s="52"/>
      <c r="J1102" s="52"/>
      <c r="K1102" s="52"/>
      <c r="L1102" s="52"/>
      <c r="M1102" s="52"/>
      <c r="N1102" s="52"/>
      <c r="O1102" s="52"/>
      <c r="P1102" s="52"/>
      <c r="Q1102" s="52"/>
      <c r="R1102" s="180"/>
      <c r="S1102" s="180"/>
      <c r="T1102" s="44"/>
      <c r="U1102" s="86"/>
      <c r="V1102" s="44"/>
      <c r="W1102" s="86"/>
      <c r="X1102" s="46"/>
    </row>
    <row r="1103" spans="1:26" x14ac:dyDescent="0.2">
      <c r="A1103" s="191" t="s">
        <v>51</v>
      </c>
      <c r="B1103" s="91">
        <v>436800</v>
      </c>
      <c r="C1103" s="91">
        <v>2888381</v>
      </c>
      <c r="D1103" s="91">
        <v>5105056</v>
      </c>
      <c r="E1103" s="91">
        <v>2518155</v>
      </c>
      <c r="F1103" s="91">
        <v>1643772</v>
      </c>
      <c r="G1103" s="180">
        <f>SUM(B1103:F1103)</f>
        <v>12592164</v>
      </c>
      <c r="H1103" s="91"/>
      <c r="I1103" s="91">
        <v>3071577</v>
      </c>
      <c r="J1103" s="91">
        <v>348106</v>
      </c>
      <c r="K1103" s="253">
        <v>1305147</v>
      </c>
      <c r="L1103" s="253">
        <v>0</v>
      </c>
      <c r="M1103" s="91">
        <v>2650618</v>
      </c>
      <c r="N1103" s="91">
        <v>9949</v>
      </c>
      <c r="O1103" s="91">
        <v>0</v>
      </c>
      <c r="P1103" s="253">
        <v>3254604</v>
      </c>
      <c r="Q1103" s="91">
        <v>0</v>
      </c>
      <c r="R1103" s="180">
        <f>SUM(I1103:Q1103)</f>
        <v>10640001</v>
      </c>
      <c r="S1103" s="180">
        <v>2705264</v>
      </c>
      <c r="T1103" s="91">
        <v>4657110</v>
      </c>
      <c r="U1103" s="86">
        <f>S1103-2304000</f>
        <v>401264</v>
      </c>
      <c r="V1103" s="44">
        <v>0</v>
      </c>
      <c r="W1103" s="86">
        <f>R1103+G1103+S1103+T1103</f>
        <v>30594539</v>
      </c>
      <c r="X1103" s="46"/>
      <c r="Z1103" s="219">
        <f>W1103-U1103-30193275</f>
        <v>0</v>
      </c>
    </row>
    <row r="1104" spans="1:26" x14ac:dyDescent="0.2">
      <c r="A1104" s="191" t="s">
        <v>42</v>
      </c>
      <c r="B1104" s="91">
        <f t="shared" ref="B1104:G1104" si="511">B1101+B1103-B1054</f>
        <v>3019200</v>
      </c>
      <c r="C1104" s="91">
        <f t="shared" si="511"/>
        <v>25982623.784999996</v>
      </c>
      <c r="D1104" s="91">
        <f t="shared" si="511"/>
        <v>53225328.912999988</v>
      </c>
      <c r="E1104" s="91">
        <f t="shared" si="511"/>
        <v>54711926.600000054</v>
      </c>
      <c r="F1104" s="91">
        <f t="shared" si="511"/>
        <v>16052617.272000007</v>
      </c>
      <c r="G1104" s="180">
        <f t="shared" si="511"/>
        <v>152991696.57000008</v>
      </c>
      <c r="H1104" s="91"/>
      <c r="I1104" s="91">
        <f t="shared" ref="I1104:W1104" si="512">I1101+I1103-I1054</f>
        <v>34431197</v>
      </c>
      <c r="J1104" s="91">
        <f t="shared" si="512"/>
        <v>14334059</v>
      </c>
      <c r="K1104" s="91">
        <f t="shared" si="512"/>
        <v>16254678</v>
      </c>
      <c r="L1104" s="91">
        <f t="shared" si="512"/>
        <v>14671479</v>
      </c>
      <c r="M1104" s="91">
        <f t="shared" si="512"/>
        <v>23534869</v>
      </c>
      <c r="N1104" s="91">
        <f t="shared" si="512"/>
        <v>1988545</v>
      </c>
      <c r="O1104" s="91">
        <f t="shared" si="512"/>
        <v>3058692</v>
      </c>
      <c r="P1104" s="91">
        <f t="shared" si="512"/>
        <v>32980620</v>
      </c>
      <c r="Q1104" s="91">
        <f t="shared" si="512"/>
        <v>9885867</v>
      </c>
      <c r="R1104" s="180">
        <f t="shared" si="512"/>
        <v>151140006</v>
      </c>
      <c r="S1104" s="180">
        <f t="shared" si="512"/>
        <v>55066713.999999978</v>
      </c>
      <c r="T1104" s="215">
        <f t="shared" si="512"/>
        <v>27879916.999999996</v>
      </c>
      <c r="U1104" s="86">
        <f t="shared" si="512"/>
        <v>1930014</v>
      </c>
      <c r="V1104" s="289">
        <f t="shared" si="512"/>
        <v>0</v>
      </c>
      <c r="W1104" s="86">
        <f t="shared" si="512"/>
        <v>387078333.57000017</v>
      </c>
      <c r="X1104" s="46">
        <f>X1101+W1103</f>
        <v>10384671077.653</v>
      </c>
    </row>
    <row r="1105" spans="1:26" x14ac:dyDescent="0.2">
      <c r="A1105" s="191"/>
      <c r="B1105" s="52"/>
      <c r="C1105" s="52"/>
      <c r="D1105" s="52"/>
      <c r="E1105" s="52"/>
      <c r="F1105" s="52"/>
      <c r="G1105" s="180"/>
      <c r="H1105" s="91"/>
      <c r="I1105" s="52"/>
      <c r="J1105" s="52"/>
      <c r="K1105" s="52"/>
      <c r="L1105" s="52"/>
      <c r="M1105" s="52"/>
      <c r="N1105" s="52"/>
      <c r="O1105" s="52"/>
      <c r="P1105" s="52"/>
      <c r="Q1105" s="52"/>
      <c r="R1105" s="180"/>
      <c r="S1105" s="180"/>
      <c r="T1105" s="44"/>
      <c r="U1105" s="86"/>
      <c r="V1105" s="44"/>
      <c r="W1105" s="86"/>
      <c r="X1105" s="46"/>
    </row>
    <row r="1106" spans="1:26" x14ac:dyDescent="0.2">
      <c r="A1106" s="191" t="s">
        <v>52</v>
      </c>
      <c r="B1106" s="91">
        <v>72000</v>
      </c>
      <c r="C1106" s="91">
        <v>529268</v>
      </c>
      <c r="D1106" s="91">
        <v>3089443</v>
      </c>
      <c r="E1106" s="91">
        <v>3304229</v>
      </c>
      <c r="F1106" s="91">
        <v>1495670</v>
      </c>
      <c r="G1106" s="180">
        <f>SUM(B1106:F1106)</f>
        <v>8490610</v>
      </c>
      <c r="H1106" s="91"/>
      <c r="I1106" s="91">
        <v>2116261</v>
      </c>
      <c r="J1106" s="91">
        <v>0</v>
      </c>
      <c r="K1106" s="253">
        <v>263837</v>
      </c>
      <c r="L1106" s="253">
        <v>189520</v>
      </c>
      <c r="M1106" s="91">
        <v>2214625</v>
      </c>
      <c r="N1106" s="91">
        <v>0</v>
      </c>
      <c r="O1106" s="91">
        <v>0</v>
      </c>
      <c r="P1106" s="253">
        <v>3232559</v>
      </c>
      <c r="Q1106" s="91">
        <v>0</v>
      </c>
      <c r="R1106" s="180">
        <f>SUM(I1106:Q1106)</f>
        <v>8016802</v>
      </c>
      <c r="S1106" s="180">
        <v>4309205</v>
      </c>
      <c r="T1106" s="91">
        <v>2008000</v>
      </c>
      <c r="U1106" s="86">
        <f>S1106-4141000</f>
        <v>168205</v>
      </c>
      <c r="V1106" s="44">
        <v>0</v>
      </c>
      <c r="W1106" s="86">
        <f>R1106+G1106+S1106+T1106</f>
        <v>22824617</v>
      </c>
      <c r="X1106" s="46"/>
      <c r="Z1106" s="219">
        <f>W1106-U1106-22656411</f>
        <v>1</v>
      </c>
    </row>
    <row r="1107" spans="1:26" x14ac:dyDescent="0.2">
      <c r="A1107" s="191" t="s">
        <v>42</v>
      </c>
      <c r="B1107" s="91">
        <f t="shared" ref="B1107:G1107" si="513">B1104+B1106-B1057</f>
        <v>2932800</v>
      </c>
      <c r="C1107" s="91">
        <f t="shared" si="513"/>
        <v>24457531.784999996</v>
      </c>
      <c r="D1107" s="91">
        <f t="shared" si="513"/>
        <v>51087958.912999988</v>
      </c>
      <c r="E1107" s="91">
        <f t="shared" si="513"/>
        <v>51501678.600000054</v>
      </c>
      <c r="F1107" s="91">
        <f t="shared" si="513"/>
        <v>16291171.272000007</v>
      </c>
      <c r="G1107" s="180">
        <f t="shared" si="513"/>
        <v>146271140.57000008</v>
      </c>
      <c r="H1107" s="91"/>
      <c r="I1107" s="91">
        <f t="shared" ref="I1107:W1107" si="514">I1104+I1106-I1057</f>
        <v>34346251</v>
      </c>
      <c r="J1107" s="91">
        <f t="shared" si="514"/>
        <v>14334059</v>
      </c>
      <c r="K1107" s="91">
        <f t="shared" si="514"/>
        <v>15007337</v>
      </c>
      <c r="L1107" s="91">
        <f t="shared" si="514"/>
        <v>13324006</v>
      </c>
      <c r="M1107" s="91">
        <f t="shared" si="514"/>
        <v>23482378</v>
      </c>
      <c r="N1107" s="91">
        <f t="shared" si="514"/>
        <v>1951113</v>
      </c>
      <c r="O1107" s="91">
        <f t="shared" si="514"/>
        <v>3058692</v>
      </c>
      <c r="P1107" s="91">
        <f t="shared" si="514"/>
        <v>33105943</v>
      </c>
      <c r="Q1107" s="91">
        <f t="shared" si="514"/>
        <v>9336209</v>
      </c>
      <c r="R1107" s="180">
        <f t="shared" si="514"/>
        <v>147945988</v>
      </c>
      <c r="S1107" s="180">
        <f t="shared" si="514"/>
        <v>54951265.999999978</v>
      </c>
      <c r="T1107" s="215">
        <f t="shared" si="514"/>
        <v>29887916.999999996</v>
      </c>
      <c r="U1107" s="86">
        <f t="shared" si="514"/>
        <v>1595166</v>
      </c>
      <c r="V1107" s="289">
        <f t="shared" si="514"/>
        <v>0</v>
      </c>
      <c r="W1107" s="86">
        <f t="shared" si="514"/>
        <v>379056311.57000017</v>
      </c>
      <c r="X1107" s="46">
        <f>X1104+W1106</f>
        <v>10407495694.653</v>
      </c>
      <c r="Z1107" s="219" t="s">
        <v>60</v>
      </c>
    </row>
    <row r="1108" spans="1:26" x14ac:dyDescent="0.2">
      <c r="A1108" s="191"/>
      <c r="B1108" s="52"/>
      <c r="C1108" s="52"/>
      <c r="D1108" s="52"/>
      <c r="E1108" s="52"/>
      <c r="F1108" s="52"/>
      <c r="G1108" s="180"/>
      <c r="H1108" s="91"/>
      <c r="I1108" s="52"/>
      <c r="J1108" s="52"/>
      <c r="K1108" s="52"/>
      <c r="L1108" s="52"/>
      <c r="M1108" s="52"/>
      <c r="N1108" s="52"/>
      <c r="O1108" s="52"/>
      <c r="P1108" s="52"/>
      <c r="Q1108" s="52"/>
      <c r="R1108" s="180"/>
      <c r="S1108" s="180"/>
      <c r="T1108" s="44"/>
      <c r="U1108" s="86"/>
      <c r="V1108" s="44"/>
      <c r="W1108" s="86"/>
      <c r="X1108" s="46"/>
    </row>
    <row r="1109" spans="1:26" x14ac:dyDescent="0.2">
      <c r="A1109" s="245" t="s">
        <v>53</v>
      </c>
      <c r="B1109" s="91">
        <v>379200</v>
      </c>
      <c r="C1109" s="91">
        <v>0</v>
      </c>
      <c r="D1109" s="91">
        <v>3255814</v>
      </c>
      <c r="E1109" s="91">
        <v>5458778</v>
      </c>
      <c r="F1109" s="91">
        <v>1912079</v>
      </c>
      <c r="G1109" s="180">
        <f>SUM(B1109:F1109)</f>
        <v>11005871</v>
      </c>
      <c r="H1109" s="91"/>
      <c r="I1109" s="91">
        <v>2581521</v>
      </c>
      <c r="J1109" s="91">
        <v>0</v>
      </c>
      <c r="K1109" s="253">
        <v>0</v>
      </c>
      <c r="L1109" s="253">
        <v>0</v>
      </c>
      <c r="M1109" s="91">
        <v>441371</v>
      </c>
      <c r="N1109" s="91">
        <v>0</v>
      </c>
      <c r="O1109" s="91">
        <v>0</v>
      </c>
      <c r="P1109" s="253">
        <v>1884168</v>
      </c>
      <c r="Q1109" s="91">
        <v>0</v>
      </c>
      <c r="R1109" s="180">
        <f>SUM(I1109:Q1109)</f>
        <v>4907060</v>
      </c>
      <c r="S1109" s="180">
        <v>6509934</v>
      </c>
      <c r="T1109" s="91">
        <v>4664488</v>
      </c>
      <c r="U1109" s="86">
        <f>S1109-6240500</f>
        <v>269434</v>
      </c>
      <c r="V1109" s="44">
        <v>0</v>
      </c>
      <c r="W1109" s="86">
        <f>R1109+G1109+S1109+T1109</f>
        <v>27087353</v>
      </c>
      <c r="X1109" s="46"/>
      <c r="Z1109" s="219">
        <f>W1109-U1109-26817918</f>
        <v>1</v>
      </c>
    </row>
    <row r="1110" spans="1:26" ht="13.5" thickBot="1" x14ac:dyDescent="0.25">
      <c r="A1110" s="192" t="s">
        <v>42</v>
      </c>
      <c r="B1110" s="187">
        <f t="shared" ref="B1110:G1110" si="515">B1107+B1109-B1060</f>
        <v>3312000</v>
      </c>
      <c r="C1110" s="187">
        <f t="shared" si="515"/>
        <v>22779285.784999996</v>
      </c>
      <c r="D1110" s="187">
        <f t="shared" si="515"/>
        <v>50685767.912999988</v>
      </c>
      <c r="E1110" s="187">
        <f t="shared" si="515"/>
        <v>53085063.600000054</v>
      </c>
      <c r="F1110" s="187">
        <f t="shared" si="515"/>
        <v>16837160.272000007</v>
      </c>
      <c r="G1110" s="188">
        <f t="shared" si="515"/>
        <v>146699277.57000008</v>
      </c>
      <c r="H1110" s="187"/>
      <c r="I1110" s="187">
        <f t="shared" ref="I1110:W1110" si="516">I1107+I1109-I1060</f>
        <v>35748154</v>
      </c>
      <c r="J1110" s="187">
        <f t="shared" si="516"/>
        <v>14334059</v>
      </c>
      <c r="K1110" s="187">
        <f t="shared" si="516"/>
        <v>13698836</v>
      </c>
      <c r="L1110" s="187">
        <f t="shared" si="516"/>
        <v>12034326</v>
      </c>
      <c r="M1110" s="187">
        <f t="shared" si="516"/>
        <v>22976996</v>
      </c>
      <c r="N1110" s="187">
        <f t="shared" si="516"/>
        <v>1951113</v>
      </c>
      <c r="O1110" s="187">
        <f t="shared" si="516"/>
        <v>3058692</v>
      </c>
      <c r="P1110" s="187">
        <f t="shared" si="516"/>
        <v>32851197</v>
      </c>
      <c r="Q1110" s="187">
        <f t="shared" si="516"/>
        <v>9336209</v>
      </c>
      <c r="R1110" s="188">
        <f t="shared" si="516"/>
        <v>145989582</v>
      </c>
      <c r="S1110" s="188">
        <f t="shared" si="516"/>
        <v>58432113.999999978</v>
      </c>
      <c r="T1110" s="262">
        <f t="shared" si="516"/>
        <v>34552405</v>
      </c>
      <c r="U1110" s="224">
        <f t="shared" si="516"/>
        <v>1942714</v>
      </c>
      <c r="V1110" s="290">
        <f t="shared" si="516"/>
        <v>0</v>
      </c>
      <c r="W1110" s="224">
        <f t="shared" si="516"/>
        <v>385673378.57000017</v>
      </c>
      <c r="X1110" s="190">
        <f>X1107+W1109</f>
        <v>10434583047.653</v>
      </c>
    </row>
    <row r="1111" spans="1:26" x14ac:dyDescent="0.2">
      <c r="A1111" s="211" t="s">
        <v>226</v>
      </c>
    </row>
    <row r="1112" spans="1:26" x14ac:dyDescent="0.2">
      <c r="A1112" s="211" t="s">
        <v>142</v>
      </c>
      <c r="S1112" s="282" t="s">
        <v>235</v>
      </c>
      <c r="T1112" s="219"/>
    </row>
    <row r="1113" spans="1:26" x14ac:dyDescent="0.2">
      <c r="A1113" s="211" t="s">
        <v>182</v>
      </c>
      <c r="S1113" t="s">
        <v>122</v>
      </c>
    </row>
    <row r="1114" spans="1:26" x14ac:dyDescent="0.2">
      <c r="A1114" s="211"/>
      <c r="B1114" s="243"/>
      <c r="C1114" s="280"/>
      <c r="D1114" s="243"/>
      <c r="I1114" s="283">
        <f>I1045+I1048+I1051+I1054+I1057+I1060+I1076+I1079+I1082+I1085+I1088+I1091</f>
        <v>30661544</v>
      </c>
      <c r="J1114" s="283">
        <f t="shared" ref="J1114:Q1114" si="517">J1045+J1048+J1051+J1054+J1057+J1060+J1076+J1079+J1082+J1085+J1088+J1091</f>
        <v>11696928</v>
      </c>
      <c r="K1114" s="283">
        <f t="shared" si="517"/>
        <v>16980890</v>
      </c>
      <c r="L1114" s="283">
        <f t="shared" si="517"/>
        <v>16585931</v>
      </c>
      <c r="M1114" s="283">
        <f t="shared" si="517"/>
        <v>20603613</v>
      </c>
      <c r="N1114" s="283">
        <f t="shared" si="517"/>
        <v>1371848</v>
      </c>
      <c r="O1114" s="283">
        <f t="shared" si="517"/>
        <v>3637981</v>
      </c>
      <c r="P1114" s="283">
        <f t="shared" si="517"/>
        <v>32898258</v>
      </c>
      <c r="Q1114" s="283">
        <f t="shared" si="517"/>
        <v>8105967</v>
      </c>
    </row>
    <row r="1115" spans="1:26" x14ac:dyDescent="0.2">
      <c r="E1115" s="284"/>
      <c r="F1115" s="285" t="s">
        <v>230</v>
      </c>
    </row>
    <row r="1117" spans="1:26" ht="27" x14ac:dyDescent="0.35">
      <c r="A1117" s="126" t="s">
        <v>237</v>
      </c>
      <c r="B1117" s="121"/>
      <c r="C1117" s="121"/>
      <c r="D1117" s="122"/>
      <c r="E1117" s="121"/>
      <c r="F1117" s="121"/>
      <c r="G1117" s="121"/>
      <c r="H1117" s="121"/>
      <c r="I1117" s="121"/>
      <c r="J1117" s="121"/>
      <c r="K1117" s="121"/>
      <c r="L1117" s="123"/>
      <c r="M1117" s="124"/>
      <c r="N1117" s="121"/>
      <c r="O1117" s="121"/>
      <c r="P1117" s="121"/>
      <c r="Q1117" s="121"/>
      <c r="R1117" s="121"/>
      <c r="S1117" s="121"/>
      <c r="T1117" s="121"/>
      <c r="U1117" s="121"/>
      <c r="V1117" s="121"/>
      <c r="W1117" s="125"/>
      <c r="X1117" s="121"/>
    </row>
    <row r="1118" spans="1:26" x14ac:dyDescent="0.2">
      <c r="A1118" s="52"/>
      <c r="B1118" s="52"/>
      <c r="C1118" s="21"/>
      <c r="D1118" s="115"/>
      <c r="E1118" s="52"/>
      <c r="F1118" s="115"/>
      <c r="G1118" s="248" t="s">
        <v>60</v>
      </c>
      <c r="H1118" s="115"/>
      <c r="I1118" s="115"/>
      <c r="J1118" s="115"/>
      <c r="K1118" s="52"/>
      <c r="L1118" s="115"/>
      <c r="M1118" s="52"/>
      <c r="N1118" s="52"/>
      <c r="O1118" s="52"/>
      <c r="P1118" s="52"/>
      <c r="Q1118" s="52"/>
      <c r="R1118" s="52"/>
      <c r="S1118" s="52"/>
      <c r="T1118" s="52"/>
      <c r="U1118" s="52"/>
      <c r="V1118" s="52"/>
      <c r="W1118" s="91"/>
      <c r="X1118" s="91"/>
    </row>
    <row r="1119" spans="1:26" ht="27.75" thickBot="1" x14ac:dyDescent="0.4">
      <c r="A1119" s="126" t="s">
        <v>107</v>
      </c>
      <c r="B1119" s="121"/>
      <c r="C1119" s="121"/>
      <c r="D1119" s="121"/>
      <c r="E1119" s="121"/>
      <c r="F1119" s="122"/>
      <c r="G1119" s="121"/>
      <c r="H1119" s="121"/>
      <c r="I1119" s="121"/>
      <c r="J1119" s="121"/>
      <c r="K1119" s="121"/>
      <c r="L1119" s="121"/>
      <c r="M1119" s="121"/>
      <c r="N1119" s="121"/>
      <c r="O1119" s="121"/>
      <c r="P1119" s="121"/>
      <c r="Q1119" s="121"/>
      <c r="R1119" s="121"/>
      <c r="S1119" s="121"/>
      <c r="T1119" s="121"/>
      <c r="U1119" s="121"/>
      <c r="V1119" s="121"/>
      <c r="W1119" s="125"/>
      <c r="X1119" s="125"/>
    </row>
    <row r="1120" spans="1:26" x14ac:dyDescent="0.2">
      <c r="A1120" s="174"/>
      <c r="B1120" s="173"/>
      <c r="C1120" s="173"/>
      <c r="D1120" s="173"/>
      <c r="E1120" s="173"/>
      <c r="F1120" s="173"/>
      <c r="G1120" s="173"/>
      <c r="H1120" s="173"/>
      <c r="I1120" s="173"/>
      <c r="J1120" s="173"/>
      <c r="K1120" s="173"/>
      <c r="L1120" s="173"/>
      <c r="M1120" s="173"/>
      <c r="N1120" s="173"/>
      <c r="O1120" s="173"/>
      <c r="P1120" s="173"/>
      <c r="Q1120" s="173"/>
      <c r="R1120" s="173"/>
      <c r="S1120" s="173"/>
      <c r="T1120" s="173"/>
      <c r="U1120" s="173"/>
      <c r="V1120" s="173"/>
      <c r="W1120" s="173"/>
      <c r="X1120" s="181"/>
    </row>
    <row r="1121" spans="1:26" ht="13.5" thickBot="1" x14ac:dyDescent="0.25">
      <c r="A1121" s="176"/>
      <c r="B1121" s="179" t="s">
        <v>112</v>
      </c>
      <c r="C1121" s="177"/>
      <c r="D1121" s="177"/>
      <c r="E1121" s="177"/>
      <c r="F1121" s="177"/>
      <c r="G1121" s="177"/>
      <c r="H1121" s="177"/>
      <c r="I1121" s="177"/>
      <c r="J1121" s="177"/>
      <c r="K1121" s="177"/>
      <c r="L1121" s="179" t="s">
        <v>113</v>
      </c>
      <c r="M1121" s="177"/>
      <c r="N1121" s="177"/>
      <c r="O1121" s="177"/>
      <c r="P1121" s="177"/>
      <c r="Q1121" s="177"/>
      <c r="R1121" s="177"/>
      <c r="S1121" s="177"/>
      <c r="T1121" s="177"/>
      <c r="U1121" s="177"/>
      <c r="V1121" s="177"/>
      <c r="W1121" s="177"/>
      <c r="X1121" s="182"/>
    </row>
    <row r="1122" spans="1:26" x14ac:dyDescent="0.2">
      <c r="A1122" s="175"/>
      <c r="B1122" s="155" t="s">
        <v>11</v>
      </c>
      <c r="C1122" s="155" t="s">
        <v>12</v>
      </c>
      <c r="D1122" s="155" t="s">
        <v>13</v>
      </c>
      <c r="E1122" s="155" t="s">
        <v>14</v>
      </c>
      <c r="F1122" s="155" t="s">
        <v>15</v>
      </c>
      <c r="G1122" s="193" t="s">
        <v>16</v>
      </c>
      <c r="H1122" s="21"/>
      <c r="I1122" s="155" t="s">
        <v>17</v>
      </c>
      <c r="J1122" s="21"/>
      <c r="K1122" s="21"/>
      <c r="L1122" s="21"/>
      <c r="M1122" s="21"/>
      <c r="N1122" s="155" t="s">
        <v>18</v>
      </c>
      <c r="O1122" s="155" t="s">
        <v>19</v>
      </c>
      <c r="P1122" s="155" t="s">
        <v>20</v>
      </c>
      <c r="Q1122" s="155" t="s">
        <v>21</v>
      </c>
      <c r="R1122" s="193" t="s">
        <v>16</v>
      </c>
      <c r="S1122" s="193" t="s">
        <v>114</v>
      </c>
      <c r="T1122" s="209" t="s">
        <v>127</v>
      </c>
      <c r="U1122" s="207" t="s">
        <v>138</v>
      </c>
      <c r="V1122" s="221" t="s">
        <v>136</v>
      </c>
      <c r="W1122" s="155" t="s">
        <v>7</v>
      </c>
      <c r="X1122" s="194" t="s">
        <v>70</v>
      </c>
    </row>
    <row r="1123" spans="1:26" ht="13.5" thickBot="1" x14ac:dyDescent="0.25">
      <c r="A1123" s="176"/>
      <c r="B1123" s="179" t="s">
        <v>23</v>
      </c>
      <c r="C1123" s="179" t="s">
        <v>24</v>
      </c>
      <c r="D1123" s="179" t="s">
        <v>25</v>
      </c>
      <c r="E1123" s="179" t="s">
        <v>26</v>
      </c>
      <c r="F1123" s="179" t="s">
        <v>27</v>
      </c>
      <c r="G1123" s="195" t="s">
        <v>28</v>
      </c>
      <c r="H1123" s="179"/>
      <c r="I1123" s="179" t="s">
        <v>29</v>
      </c>
      <c r="J1123" s="179" t="s">
        <v>30</v>
      </c>
      <c r="K1123" s="179" t="s">
        <v>31</v>
      </c>
      <c r="L1123" s="179" t="s">
        <v>32</v>
      </c>
      <c r="M1123" s="179" t="s">
        <v>33</v>
      </c>
      <c r="N1123" s="179" t="s">
        <v>34</v>
      </c>
      <c r="O1123" s="179" t="s">
        <v>35</v>
      </c>
      <c r="P1123" s="179" t="s">
        <v>36</v>
      </c>
      <c r="Q1123" s="179" t="s">
        <v>37</v>
      </c>
      <c r="R1123" s="195" t="s">
        <v>28</v>
      </c>
      <c r="S1123" s="195" t="s">
        <v>129</v>
      </c>
      <c r="T1123" s="210" t="s">
        <v>130</v>
      </c>
      <c r="U1123" s="179" t="s">
        <v>139</v>
      </c>
      <c r="V1123" s="222" t="s">
        <v>143</v>
      </c>
      <c r="W1123" s="179" t="s">
        <v>181</v>
      </c>
      <c r="X1123" s="196" t="s">
        <v>71</v>
      </c>
    </row>
    <row r="1124" spans="1:26" x14ac:dyDescent="0.2">
      <c r="A1124" s="175"/>
      <c r="B1124" s="117"/>
      <c r="C1124" s="117"/>
      <c r="D1124" s="117"/>
      <c r="E1124" s="117"/>
      <c r="F1124" s="117"/>
      <c r="G1124" s="178"/>
      <c r="H1124" s="52"/>
      <c r="I1124" s="117"/>
      <c r="J1124" s="117"/>
      <c r="K1124" s="117"/>
      <c r="L1124" s="117"/>
      <c r="M1124" s="117"/>
      <c r="N1124" s="117"/>
      <c r="O1124" s="117"/>
      <c r="P1124" s="117"/>
      <c r="Q1124" s="117"/>
      <c r="R1124" s="178"/>
      <c r="S1124" s="208"/>
      <c r="T1124" s="185"/>
      <c r="U1124" s="185"/>
      <c r="V1124" s="185"/>
      <c r="W1124" s="185"/>
      <c r="X1124" s="183"/>
    </row>
    <row r="1125" spans="1:26" x14ac:dyDescent="0.2">
      <c r="A1125" s="191" t="s">
        <v>41</v>
      </c>
      <c r="B1125" s="91">
        <v>561600</v>
      </c>
      <c r="C1125" s="91">
        <v>0</v>
      </c>
      <c r="D1125" s="91">
        <v>4924768</v>
      </c>
      <c r="E1125" s="91">
        <v>1145888</v>
      </c>
      <c r="F1125" s="91">
        <v>276467</v>
      </c>
      <c r="G1125" s="180">
        <f>SUM(B1125:F1125)</f>
        <v>6908723</v>
      </c>
      <c r="H1125" s="91"/>
      <c r="I1125" s="91">
        <v>2782552</v>
      </c>
      <c r="J1125" s="91">
        <v>62571</v>
      </c>
      <c r="K1125" s="253">
        <v>0</v>
      </c>
      <c r="L1125" s="253">
        <v>0</v>
      </c>
      <c r="M1125" s="91">
        <v>1241648</v>
      </c>
      <c r="N1125" s="91">
        <v>0</v>
      </c>
      <c r="O1125" s="91">
        <v>0</v>
      </c>
      <c r="P1125" s="253">
        <v>2501006</v>
      </c>
      <c r="Q1125" s="91">
        <v>0</v>
      </c>
      <c r="R1125" s="180">
        <f>SUM(I1125:Q1125)</f>
        <v>6587777</v>
      </c>
      <c r="S1125" s="180">
        <v>9122307</v>
      </c>
      <c r="T1125" s="91">
        <v>3872398</v>
      </c>
      <c r="U1125" s="86">
        <f>S1125-9074500</f>
        <v>47807</v>
      </c>
      <c r="V1125" s="186">
        <v>0</v>
      </c>
      <c r="W1125" s="186">
        <f>R1125+G1125+S1125+T1125</f>
        <v>26491205</v>
      </c>
      <c r="X1125" s="46"/>
      <c r="Z1125" s="219">
        <f>W1125-U1125-26443398</f>
        <v>0</v>
      </c>
    </row>
    <row r="1126" spans="1:26" x14ac:dyDescent="0.2">
      <c r="A1126" s="191" t="s">
        <v>42</v>
      </c>
      <c r="B1126" s="91">
        <f t="shared" ref="B1126:G1126" si="518">B1110+B1125-B1076</f>
        <v>3873600</v>
      </c>
      <c r="C1126" s="91">
        <f t="shared" si="518"/>
        <v>22136197.784999996</v>
      </c>
      <c r="D1126" s="91">
        <f t="shared" si="518"/>
        <v>52018603.912999988</v>
      </c>
      <c r="E1126" s="91">
        <f t="shared" si="518"/>
        <v>51333912.600000054</v>
      </c>
      <c r="F1126" s="91">
        <f t="shared" si="518"/>
        <v>16077226.272000007</v>
      </c>
      <c r="G1126" s="180">
        <f t="shared" si="518"/>
        <v>145439540.57000008</v>
      </c>
      <c r="H1126" s="91"/>
      <c r="I1126" s="91">
        <f t="shared" ref="I1126:W1126" si="519">I1110+I1125-I1076</f>
        <v>35958013</v>
      </c>
      <c r="J1126" s="91">
        <f t="shared" si="519"/>
        <v>14396630</v>
      </c>
      <c r="K1126" s="91">
        <f t="shared" si="519"/>
        <v>13475170</v>
      </c>
      <c r="L1126" s="91">
        <f t="shared" si="519"/>
        <v>11805239</v>
      </c>
      <c r="M1126" s="91">
        <f t="shared" si="519"/>
        <v>21933277</v>
      </c>
      <c r="N1126" s="91">
        <f t="shared" si="519"/>
        <v>1951113</v>
      </c>
      <c r="O1126" s="91">
        <f t="shared" si="519"/>
        <v>3058692</v>
      </c>
      <c r="P1126" s="91">
        <f t="shared" si="519"/>
        <v>33561904</v>
      </c>
      <c r="Q1126" s="91">
        <f t="shared" si="519"/>
        <v>9336209</v>
      </c>
      <c r="R1126" s="180">
        <f t="shared" si="519"/>
        <v>145476247</v>
      </c>
      <c r="S1126" s="180">
        <f t="shared" si="519"/>
        <v>63805179.99999997</v>
      </c>
      <c r="T1126" s="215">
        <f t="shared" si="519"/>
        <v>38424803</v>
      </c>
      <c r="U1126" s="86">
        <f t="shared" si="519"/>
        <v>1811280</v>
      </c>
      <c r="V1126" s="86">
        <f t="shared" si="519"/>
        <v>0</v>
      </c>
      <c r="W1126" s="86">
        <f t="shared" si="519"/>
        <v>393145770.57000017</v>
      </c>
      <c r="X1126" s="46">
        <f>X1110+W1125</f>
        <v>10461074252.653</v>
      </c>
    </row>
    <row r="1127" spans="1:26" x14ac:dyDescent="0.2">
      <c r="A1127" s="191"/>
      <c r="B1127" s="52"/>
      <c r="C1127" s="52"/>
      <c r="D1127" s="52"/>
      <c r="E1127" s="52"/>
      <c r="F1127" s="52"/>
      <c r="G1127" s="180"/>
      <c r="H1127" s="91"/>
      <c r="I1127" s="52"/>
      <c r="J1127" s="52"/>
      <c r="K1127" s="52"/>
      <c r="L1127" s="52"/>
      <c r="M1127" s="52"/>
      <c r="N1127" s="52"/>
      <c r="O1127" s="52"/>
      <c r="P1127" s="52"/>
      <c r="Q1127" s="52"/>
      <c r="R1127" s="180"/>
      <c r="S1127" s="178"/>
      <c r="T1127" s="218"/>
      <c r="U1127" s="217"/>
      <c r="V1127" s="185"/>
      <c r="W1127" s="186"/>
      <c r="X1127" s="46"/>
    </row>
    <row r="1128" spans="1:26" x14ac:dyDescent="0.2">
      <c r="A1128" s="191" t="s">
        <v>43</v>
      </c>
      <c r="B1128" s="91">
        <v>110400</v>
      </c>
      <c r="C1128" s="91">
        <v>1108249</v>
      </c>
      <c r="D1128" s="91">
        <v>1497181</v>
      </c>
      <c r="E1128" s="91">
        <v>917549</v>
      </c>
      <c r="F1128" s="91">
        <v>0</v>
      </c>
      <c r="G1128" s="180">
        <f>SUM(B1128:F1128)</f>
        <v>3633379</v>
      </c>
      <c r="H1128" s="91"/>
      <c r="I1128" s="91">
        <v>586991</v>
      </c>
      <c r="J1128" s="91">
        <v>0</v>
      </c>
      <c r="K1128" s="253">
        <v>875474</v>
      </c>
      <c r="L1128" s="253">
        <v>854894</v>
      </c>
      <c r="M1128" s="91">
        <v>0</v>
      </c>
      <c r="N1128" s="91">
        <v>0</v>
      </c>
      <c r="O1128" s="91">
        <v>936933</v>
      </c>
      <c r="P1128" s="253">
        <v>3012854</v>
      </c>
      <c r="Q1128" s="91">
        <v>0</v>
      </c>
      <c r="R1128" s="180">
        <f>SUM(I1128:Q1128)</f>
        <v>6267146</v>
      </c>
      <c r="S1128" s="180">
        <v>7406500</v>
      </c>
      <c r="T1128" s="91">
        <v>4205660</v>
      </c>
      <c r="U1128" s="86">
        <f>S1128-7085500</f>
        <v>321000</v>
      </c>
      <c r="V1128" s="186">
        <v>0</v>
      </c>
      <c r="W1128" s="186">
        <f>R1128+G1128+S1128+T1128</f>
        <v>21512685</v>
      </c>
      <c r="X1128" s="46"/>
      <c r="Z1128" s="219">
        <f>W1128-U1128-21191686</f>
        <v>-1</v>
      </c>
    </row>
    <row r="1129" spans="1:26" x14ac:dyDescent="0.2">
      <c r="A1129" s="191" t="s">
        <v>42</v>
      </c>
      <c r="B1129" s="91">
        <f t="shared" ref="B1129:G1129" si="520">B1126+B1128-B1079</f>
        <v>3744000</v>
      </c>
      <c r="C1129" s="91">
        <f t="shared" si="520"/>
        <v>22501905.784999996</v>
      </c>
      <c r="D1129" s="91">
        <f t="shared" si="520"/>
        <v>49839769.912999988</v>
      </c>
      <c r="E1129" s="91">
        <f t="shared" si="520"/>
        <v>48066699.600000054</v>
      </c>
      <c r="F1129" s="91">
        <f t="shared" si="520"/>
        <v>14993179.272000007</v>
      </c>
      <c r="G1129" s="180">
        <f t="shared" si="520"/>
        <v>139145554.57000008</v>
      </c>
      <c r="H1129" s="91"/>
      <c r="I1129" s="91">
        <f t="shared" ref="I1129:W1129" si="521">I1126+I1128-I1079</f>
        <v>33893886</v>
      </c>
      <c r="J1129" s="91">
        <f t="shared" si="521"/>
        <v>14396630</v>
      </c>
      <c r="K1129" s="91">
        <f t="shared" si="521"/>
        <v>14350644</v>
      </c>
      <c r="L1129" s="91">
        <f t="shared" si="521"/>
        <v>12660133</v>
      </c>
      <c r="M1129" s="91">
        <f t="shared" si="521"/>
        <v>21589149</v>
      </c>
      <c r="N1129" s="91">
        <f t="shared" si="521"/>
        <v>1951113</v>
      </c>
      <c r="O1129" s="91">
        <f t="shared" si="521"/>
        <v>3995625</v>
      </c>
      <c r="P1129" s="91">
        <f t="shared" si="521"/>
        <v>34059301</v>
      </c>
      <c r="Q1129" s="91">
        <f t="shared" si="521"/>
        <v>9336209</v>
      </c>
      <c r="R1129" s="180">
        <f t="shared" si="521"/>
        <v>146232690</v>
      </c>
      <c r="S1129" s="180">
        <f t="shared" si="521"/>
        <v>67905549.99999997</v>
      </c>
      <c r="T1129" s="215">
        <f t="shared" si="521"/>
        <v>39543516</v>
      </c>
      <c r="U1129" s="86">
        <f t="shared" si="521"/>
        <v>1934650</v>
      </c>
      <c r="V1129" s="86">
        <f t="shared" si="521"/>
        <v>0</v>
      </c>
      <c r="W1129" s="186">
        <f t="shared" si="521"/>
        <v>392827310.57000017</v>
      </c>
      <c r="X1129" s="46">
        <f>X1126+W1128</f>
        <v>10482586937.653</v>
      </c>
    </row>
    <row r="1130" spans="1:26" x14ac:dyDescent="0.2">
      <c r="A1130" s="191"/>
      <c r="B1130" s="91"/>
      <c r="C1130" s="91"/>
      <c r="D1130" s="91"/>
      <c r="E1130" s="91"/>
      <c r="F1130" s="91"/>
      <c r="G1130" s="180"/>
      <c r="H1130" s="91"/>
      <c r="I1130" s="91"/>
      <c r="J1130" s="91"/>
      <c r="K1130" s="91"/>
      <c r="L1130" s="91"/>
      <c r="M1130" s="91"/>
      <c r="N1130" s="91"/>
      <c r="O1130" s="91"/>
      <c r="P1130" s="91"/>
      <c r="Q1130" s="91"/>
      <c r="R1130" s="180"/>
      <c r="S1130" s="178"/>
      <c r="T1130" s="218"/>
      <c r="U1130" s="217"/>
      <c r="V1130" s="185"/>
      <c r="W1130" s="186"/>
      <c r="X1130" s="46"/>
    </row>
    <row r="1131" spans="1:26" x14ac:dyDescent="0.2">
      <c r="A1131" s="191" t="s">
        <v>44</v>
      </c>
      <c r="B1131" s="91">
        <v>0</v>
      </c>
      <c r="C1131" s="91">
        <v>2053335</v>
      </c>
      <c r="D1131" s="91">
        <v>4880191</v>
      </c>
      <c r="E1131" s="91">
        <v>1914957</v>
      </c>
      <c r="F1131" s="91">
        <v>0</v>
      </c>
      <c r="G1131" s="180">
        <f>SUM(B1131:F1131)</f>
        <v>8848483</v>
      </c>
      <c r="H1131" s="91"/>
      <c r="I1131" s="91">
        <v>437290</v>
      </c>
      <c r="J1131" s="91">
        <v>0</v>
      </c>
      <c r="K1131" s="253">
        <v>1798016</v>
      </c>
      <c r="L1131" s="253">
        <v>1669081</v>
      </c>
      <c r="M1131" s="91">
        <v>0</v>
      </c>
      <c r="N1131" s="91">
        <v>0</v>
      </c>
      <c r="O1131" s="91">
        <v>1563796</v>
      </c>
      <c r="P1131" s="253">
        <v>2083705</v>
      </c>
      <c r="Q1131" s="91">
        <v>480901</v>
      </c>
      <c r="R1131" s="180">
        <f>SUM(I1131:Q1131)</f>
        <v>8032789</v>
      </c>
      <c r="S1131" s="180">
        <v>5212322</v>
      </c>
      <c r="T1131" s="91">
        <v>4889510</v>
      </c>
      <c r="U1131" s="86">
        <f>S1131-5063500</f>
        <v>148822</v>
      </c>
      <c r="V1131" s="186">
        <v>0</v>
      </c>
      <c r="W1131" s="186">
        <f>R1131+G1131+S1131+T1131</f>
        <v>26983104</v>
      </c>
      <c r="X1131" s="46"/>
      <c r="Z1131" s="219">
        <f>W1131-U1131-26834281</f>
        <v>1</v>
      </c>
    </row>
    <row r="1132" spans="1:26" x14ac:dyDescent="0.2">
      <c r="A1132" s="191" t="s">
        <v>42</v>
      </c>
      <c r="B1132" s="91">
        <f t="shared" ref="B1132:G1132" si="522">B1129+B1131-B1082</f>
        <v>3523200</v>
      </c>
      <c r="C1132" s="91">
        <f t="shared" si="522"/>
        <v>23792678.607999995</v>
      </c>
      <c r="D1132" s="91">
        <f t="shared" si="522"/>
        <v>51881681.568999991</v>
      </c>
      <c r="E1132" s="91">
        <f t="shared" si="522"/>
        <v>45968257.686000057</v>
      </c>
      <c r="F1132" s="91">
        <f t="shared" si="522"/>
        <v>14555765.307000007</v>
      </c>
      <c r="G1132" s="180">
        <f t="shared" si="522"/>
        <v>139721583.17000008</v>
      </c>
      <c r="H1132" s="91"/>
      <c r="I1132" s="91">
        <f t="shared" ref="I1132:W1132" si="523">I1129+I1131-I1082</f>
        <v>33350325</v>
      </c>
      <c r="J1132" s="91">
        <f t="shared" si="523"/>
        <v>14396630</v>
      </c>
      <c r="K1132" s="91">
        <f t="shared" si="523"/>
        <v>14932919</v>
      </c>
      <c r="L1132" s="91">
        <f t="shared" si="523"/>
        <v>13153424</v>
      </c>
      <c r="M1132" s="91">
        <f t="shared" si="523"/>
        <v>20732781</v>
      </c>
      <c r="N1132" s="91">
        <f t="shared" si="523"/>
        <v>1951113</v>
      </c>
      <c r="O1132" s="91">
        <f t="shared" si="523"/>
        <v>4874989</v>
      </c>
      <c r="P1132" s="91">
        <f t="shared" si="523"/>
        <v>33602177</v>
      </c>
      <c r="Q1132" s="91">
        <f t="shared" si="523"/>
        <v>9817110</v>
      </c>
      <c r="R1132" s="180">
        <f t="shared" si="523"/>
        <v>146811468</v>
      </c>
      <c r="S1132" s="180">
        <f t="shared" si="523"/>
        <v>73117871.99999997</v>
      </c>
      <c r="T1132" s="215">
        <f t="shared" si="523"/>
        <v>44433026</v>
      </c>
      <c r="U1132" s="86">
        <f t="shared" si="523"/>
        <v>2083472</v>
      </c>
      <c r="V1132" s="86">
        <f t="shared" si="523"/>
        <v>0</v>
      </c>
      <c r="W1132" s="186">
        <f t="shared" si="523"/>
        <v>404083949.1700002</v>
      </c>
      <c r="X1132" s="46">
        <f>X1129+W1131</f>
        <v>10509570041.653</v>
      </c>
    </row>
    <row r="1133" spans="1:26" x14ac:dyDescent="0.2">
      <c r="A1133" s="191"/>
      <c r="B1133" s="52"/>
      <c r="C1133" s="52"/>
      <c r="D1133" s="52"/>
      <c r="E1133" s="52"/>
      <c r="F1133" s="52"/>
      <c r="G1133" s="180"/>
      <c r="H1133" s="91"/>
      <c r="I1133" s="52"/>
      <c r="J1133" s="52"/>
      <c r="K1133" s="52"/>
      <c r="L1133" s="52"/>
      <c r="M1133" s="52"/>
      <c r="N1133" s="52"/>
      <c r="O1133" s="52"/>
      <c r="P1133" s="52"/>
      <c r="Q1133" s="52"/>
      <c r="R1133" s="180"/>
      <c r="S1133" s="178"/>
      <c r="T1133" s="218"/>
      <c r="U1133" s="217"/>
      <c r="V1133" s="185"/>
      <c r="W1133" s="186"/>
      <c r="X1133" s="46"/>
    </row>
    <row r="1134" spans="1:26" x14ac:dyDescent="0.2">
      <c r="A1134" s="191" t="s">
        <v>45</v>
      </c>
      <c r="B1134" s="91">
        <v>220800</v>
      </c>
      <c r="C1134" s="91">
        <v>1793785</v>
      </c>
      <c r="D1134" s="91">
        <v>5389913</v>
      </c>
      <c r="E1134" s="91">
        <v>3854177</v>
      </c>
      <c r="F1134" s="91">
        <v>0</v>
      </c>
      <c r="G1134" s="180">
        <f>SUM(B1134:F1134)</f>
        <v>11258675</v>
      </c>
      <c r="H1134" s="91"/>
      <c r="I1134" s="91">
        <v>389065</v>
      </c>
      <c r="J1134" s="91">
        <v>0</v>
      </c>
      <c r="K1134" s="253">
        <v>1597669</v>
      </c>
      <c r="L1134" s="253">
        <v>1538377</v>
      </c>
      <c r="M1134" s="91">
        <v>279696</v>
      </c>
      <c r="N1134" s="91">
        <v>0</v>
      </c>
      <c r="O1134" s="91">
        <v>920965</v>
      </c>
      <c r="P1134" s="253">
        <v>3244773</v>
      </c>
      <c r="Q1134" s="91">
        <v>0</v>
      </c>
      <c r="R1134" s="180">
        <f>SUM(I1134:Q1134)</f>
        <v>7970545</v>
      </c>
      <c r="S1134" s="180">
        <v>2026674</v>
      </c>
      <c r="T1134" s="91">
        <v>2843496</v>
      </c>
      <c r="U1134" s="86">
        <f>S1134-2012000</f>
        <v>14674</v>
      </c>
      <c r="V1134" s="186">
        <v>0</v>
      </c>
      <c r="W1134" s="186">
        <f>R1134+G1134+S1134+T1134</f>
        <v>24099390</v>
      </c>
      <c r="X1134" s="46"/>
      <c r="Z1134" s="219">
        <f>W1134-U1134-24084716</f>
        <v>0</v>
      </c>
    </row>
    <row r="1135" spans="1:26" x14ac:dyDescent="0.2">
      <c r="A1135" s="191" t="s">
        <v>42</v>
      </c>
      <c r="B1135" s="91">
        <f t="shared" ref="B1135:G1135" si="524">B1132+B1134-B1085</f>
        <v>3744000</v>
      </c>
      <c r="C1135" s="91">
        <f t="shared" si="524"/>
        <v>23419730.607999995</v>
      </c>
      <c r="D1135" s="91">
        <f t="shared" si="524"/>
        <v>54970315.568999991</v>
      </c>
      <c r="E1135" s="91">
        <f t="shared" si="524"/>
        <v>43768634.686000057</v>
      </c>
      <c r="F1135" s="91">
        <f t="shared" si="524"/>
        <v>12809361.307000007</v>
      </c>
      <c r="G1135" s="180">
        <f t="shared" si="524"/>
        <v>138712042.17000008</v>
      </c>
      <c r="H1135" s="91"/>
      <c r="I1135" s="91">
        <f t="shared" ref="I1135:W1135" si="525">I1132+I1134-I1085</f>
        <v>33739390</v>
      </c>
      <c r="J1135" s="91">
        <f t="shared" si="525"/>
        <v>14396630</v>
      </c>
      <c r="K1135" s="91">
        <f t="shared" si="525"/>
        <v>14837248</v>
      </c>
      <c r="L1135" s="91">
        <f t="shared" si="525"/>
        <v>12997747</v>
      </c>
      <c r="M1135" s="91">
        <f t="shared" si="525"/>
        <v>19577535</v>
      </c>
      <c r="N1135" s="91">
        <f t="shared" si="525"/>
        <v>1860890</v>
      </c>
      <c r="O1135" s="91">
        <f t="shared" si="525"/>
        <v>4529527</v>
      </c>
      <c r="P1135" s="91">
        <f t="shared" si="525"/>
        <v>33743501</v>
      </c>
      <c r="Q1135" s="91">
        <f t="shared" si="525"/>
        <v>9817110</v>
      </c>
      <c r="R1135" s="180">
        <f t="shared" si="525"/>
        <v>145499578</v>
      </c>
      <c r="S1135" s="180">
        <f t="shared" si="525"/>
        <v>75144545.99999997</v>
      </c>
      <c r="T1135" s="215">
        <f t="shared" si="525"/>
        <v>47276522</v>
      </c>
      <c r="U1135" s="86">
        <f t="shared" si="525"/>
        <v>2098146</v>
      </c>
      <c r="V1135" s="86">
        <f t="shared" si="525"/>
        <v>0</v>
      </c>
      <c r="W1135" s="186">
        <f t="shared" si="525"/>
        <v>406632688.1700002</v>
      </c>
      <c r="X1135" s="46">
        <f>X1132+W1134</f>
        <v>10533669431.653</v>
      </c>
    </row>
    <row r="1136" spans="1:26" x14ac:dyDescent="0.2">
      <c r="A1136" s="191"/>
      <c r="B1136" s="52"/>
      <c r="C1136" s="52"/>
      <c r="D1136" s="52"/>
      <c r="E1136" s="52"/>
      <c r="F1136" s="52"/>
      <c r="G1136" s="180"/>
      <c r="H1136" s="91"/>
      <c r="I1136" s="52"/>
      <c r="J1136" s="52"/>
      <c r="K1136" s="52"/>
      <c r="L1136" s="52"/>
      <c r="M1136" s="52"/>
      <c r="N1136" s="52"/>
      <c r="O1136" s="52"/>
      <c r="P1136" s="52"/>
      <c r="Q1136" s="52"/>
      <c r="R1136" s="180"/>
      <c r="S1136" s="180"/>
      <c r="T1136" s="44"/>
      <c r="U1136" s="86"/>
      <c r="V1136" s="186"/>
      <c r="W1136" s="186"/>
      <c r="X1136" s="46"/>
    </row>
    <row r="1137" spans="1:26" x14ac:dyDescent="0.2">
      <c r="A1137" s="191" t="s">
        <v>46</v>
      </c>
      <c r="B1137" s="91">
        <v>494400</v>
      </c>
      <c r="C1137" s="91">
        <v>1425555</v>
      </c>
      <c r="D1137" s="91">
        <v>5738949</v>
      </c>
      <c r="E1137" s="91">
        <v>6800256</v>
      </c>
      <c r="F1137" s="91">
        <v>0</v>
      </c>
      <c r="G1137" s="180">
        <f>SUM(B1137:F1137)</f>
        <v>14459160</v>
      </c>
      <c r="H1137" s="91"/>
      <c r="I1137" s="91">
        <v>3772993</v>
      </c>
      <c r="J1137" s="91">
        <v>0</v>
      </c>
      <c r="K1137" s="253">
        <v>1392764</v>
      </c>
      <c r="L1137" s="253">
        <v>1261621</v>
      </c>
      <c r="M1137" s="91">
        <v>1920512</v>
      </c>
      <c r="N1137" s="91">
        <v>0</v>
      </c>
      <c r="O1137" s="91">
        <v>0</v>
      </c>
      <c r="P1137" s="91">
        <v>2038559</v>
      </c>
      <c r="Q1137" s="91">
        <v>206441</v>
      </c>
      <c r="R1137" s="180">
        <f>SUM(I1137:Q1137)</f>
        <v>10592890</v>
      </c>
      <c r="S1137" s="180">
        <v>0</v>
      </c>
      <c r="T1137" s="91">
        <v>1679470</v>
      </c>
      <c r="U1137" s="86">
        <v>0</v>
      </c>
      <c r="V1137" s="186">
        <v>0</v>
      </c>
      <c r="W1137" s="186">
        <f>R1137+G1137+S1137+T1137</f>
        <v>26731520</v>
      </c>
      <c r="X1137" s="46"/>
      <c r="Z1137" s="219">
        <f>W1137-U1137-26731520</f>
        <v>0</v>
      </c>
    </row>
    <row r="1138" spans="1:26" x14ac:dyDescent="0.2">
      <c r="A1138" s="191" t="s">
        <v>42</v>
      </c>
      <c r="B1138" s="91">
        <f t="shared" ref="B1138:G1138" si="526">B1135+B1137-B1088</f>
        <v>4128000</v>
      </c>
      <c r="C1138" s="91">
        <f t="shared" si="526"/>
        <v>22459480.607999995</v>
      </c>
      <c r="D1138" s="91">
        <f t="shared" si="526"/>
        <v>57182553.568999991</v>
      </c>
      <c r="E1138" s="91">
        <f t="shared" si="526"/>
        <v>43757230.686000057</v>
      </c>
      <c r="F1138" s="91">
        <f t="shared" si="526"/>
        <v>10920947.307000007</v>
      </c>
      <c r="G1138" s="180">
        <f t="shared" si="526"/>
        <v>138448212.17000008</v>
      </c>
      <c r="H1138" s="91"/>
      <c r="I1138" s="91">
        <f t="shared" ref="I1138:W1138" si="527">I1135+I1137-I1088</f>
        <v>36544209</v>
      </c>
      <c r="J1138" s="91">
        <f t="shared" si="527"/>
        <v>14396630</v>
      </c>
      <c r="K1138" s="91">
        <f t="shared" si="527"/>
        <v>14323647</v>
      </c>
      <c r="L1138" s="91">
        <f t="shared" si="527"/>
        <v>12384997</v>
      </c>
      <c r="M1138" s="91">
        <f t="shared" si="527"/>
        <v>19180684</v>
      </c>
      <c r="N1138" s="91">
        <f t="shared" si="527"/>
        <v>1544477</v>
      </c>
      <c r="O1138" s="91">
        <f t="shared" si="527"/>
        <v>3421694</v>
      </c>
      <c r="P1138" s="91">
        <f t="shared" si="527"/>
        <v>32594060</v>
      </c>
      <c r="Q1138" s="91">
        <f t="shared" si="527"/>
        <v>9760338</v>
      </c>
      <c r="R1138" s="180">
        <f t="shared" si="527"/>
        <v>144150736</v>
      </c>
      <c r="S1138" s="180">
        <f t="shared" si="527"/>
        <v>75144545.99999997</v>
      </c>
      <c r="T1138" s="215">
        <f t="shared" si="527"/>
        <v>48811540</v>
      </c>
      <c r="U1138" s="86">
        <f t="shared" si="527"/>
        <v>2098146</v>
      </c>
      <c r="V1138" s="86">
        <f t="shared" si="527"/>
        <v>0</v>
      </c>
      <c r="W1138" s="186">
        <f t="shared" si="527"/>
        <v>406555034.1700002</v>
      </c>
      <c r="X1138" s="46">
        <f>X1135+W1137</f>
        <v>10560400951.653</v>
      </c>
    </row>
    <row r="1139" spans="1:26" x14ac:dyDescent="0.2">
      <c r="A1139" s="191"/>
      <c r="B1139" s="52"/>
      <c r="C1139" s="52"/>
      <c r="D1139" s="52"/>
      <c r="E1139" s="52"/>
      <c r="F1139" s="52"/>
      <c r="G1139" s="180"/>
      <c r="H1139" s="91"/>
      <c r="I1139" s="52"/>
      <c r="J1139" s="52"/>
      <c r="K1139" s="52"/>
      <c r="L1139" s="52"/>
      <c r="M1139" s="52"/>
      <c r="N1139" s="52"/>
      <c r="O1139" s="52"/>
      <c r="P1139" s="52"/>
      <c r="Q1139" s="52"/>
      <c r="R1139" s="180"/>
      <c r="S1139" s="180"/>
      <c r="T1139" s="44"/>
      <c r="U1139" s="86"/>
      <c r="V1139" s="44"/>
      <c r="W1139" s="86"/>
      <c r="X1139" s="46"/>
    </row>
    <row r="1140" spans="1:26" x14ac:dyDescent="0.2">
      <c r="A1140" s="191" t="s">
        <v>47</v>
      </c>
      <c r="B1140" s="91">
        <v>249600</v>
      </c>
      <c r="C1140" s="91">
        <v>2298662</v>
      </c>
      <c r="D1140" s="91">
        <v>5521878</v>
      </c>
      <c r="E1140" s="91">
        <v>6394406</v>
      </c>
      <c r="F1140" s="91">
        <v>0</v>
      </c>
      <c r="G1140" s="180">
        <f>SUM(B1140:F1140)</f>
        <v>14464546</v>
      </c>
      <c r="H1140" s="91"/>
      <c r="I1140" s="91">
        <v>4044961</v>
      </c>
      <c r="J1140" s="91">
        <v>648155</v>
      </c>
      <c r="K1140" s="253">
        <v>1806425</v>
      </c>
      <c r="L1140" s="253">
        <v>1774635</v>
      </c>
      <c r="M1140" s="91">
        <v>0</v>
      </c>
      <c r="N1140" s="91">
        <v>601264</v>
      </c>
      <c r="O1140" s="91">
        <v>0</v>
      </c>
      <c r="P1140" s="253">
        <v>1564833</v>
      </c>
      <c r="Q1140" s="91">
        <v>514619</v>
      </c>
      <c r="R1140" s="180">
        <f>SUM(I1140:Q1140)</f>
        <v>10954892</v>
      </c>
      <c r="S1140" s="180">
        <v>0</v>
      </c>
      <c r="T1140" s="91">
        <v>5683030</v>
      </c>
      <c r="U1140" s="86">
        <v>0</v>
      </c>
      <c r="V1140" s="44">
        <v>0</v>
      </c>
      <c r="W1140" s="86">
        <f>R1140+G1140+S1140+T1140</f>
        <v>31102468</v>
      </c>
      <c r="X1140" s="46"/>
      <c r="Z1140" s="219">
        <f>W1140-31102468</f>
        <v>0</v>
      </c>
    </row>
    <row r="1141" spans="1:26" x14ac:dyDescent="0.2">
      <c r="A1141" s="191" t="s">
        <v>42</v>
      </c>
      <c r="B1141" s="91">
        <f t="shared" ref="B1141:G1141" si="528">B1138+B1140-B1091</f>
        <v>3820800</v>
      </c>
      <c r="C1141" s="91">
        <f t="shared" si="528"/>
        <v>21700863.607999995</v>
      </c>
      <c r="D1141" s="91">
        <f t="shared" si="528"/>
        <v>56714301.568999991</v>
      </c>
      <c r="E1141" s="91">
        <f t="shared" si="528"/>
        <v>44326689.686000057</v>
      </c>
      <c r="F1141" s="91">
        <f t="shared" si="528"/>
        <v>9287954.3070000075</v>
      </c>
      <c r="G1141" s="180">
        <f t="shared" si="528"/>
        <v>135850609.17000008</v>
      </c>
      <c r="H1141" s="91"/>
      <c r="I1141" s="91">
        <f t="shared" ref="I1141:W1141" si="529">I1138+I1140-I1091</f>
        <v>35743929</v>
      </c>
      <c r="J1141" s="91">
        <f t="shared" si="529"/>
        <v>12018419</v>
      </c>
      <c r="K1141" s="91">
        <f t="shared" si="529"/>
        <v>14334801</v>
      </c>
      <c r="L1141" s="91">
        <f t="shared" si="529"/>
        <v>12401633</v>
      </c>
      <c r="M1141" s="91">
        <f t="shared" si="529"/>
        <v>18910403</v>
      </c>
      <c r="N1141" s="91">
        <f t="shared" si="529"/>
        <v>2145741</v>
      </c>
      <c r="O1141" s="91">
        <f t="shared" si="529"/>
        <v>3421694</v>
      </c>
      <c r="P1141" s="91">
        <f t="shared" si="529"/>
        <v>30960720</v>
      </c>
      <c r="Q1141" s="91">
        <f t="shared" si="529"/>
        <v>7966654</v>
      </c>
      <c r="R1141" s="180">
        <f t="shared" si="529"/>
        <v>137903994</v>
      </c>
      <c r="S1141" s="180">
        <f t="shared" si="529"/>
        <v>71996037.99999997</v>
      </c>
      <c r="T1141" s="215">
        <f t="shared" si="529"/>
        <v>47780836</v>
      </c>
      <c r="U1141" s="86">
        <f t="shared" si="529"/>
        <v>1968438</v>
      </c>
      <c r="V1141" s="289">
        <f t="shared" si="529"/>
        <v>0</v>
      </c>
      <c r="W1141" s="86">
        <f t="shared" si="529"/>
        <v>393531477.1700002</v>
      </c>
      <c r="X1141" s="46">
        <f>X1138+W1140</f>
        <v>10591503419.653</v>
      </c>
    </row>
    <row r="1142" spans="1:26" x14ac:dyDescent="0.2">
      <c r="A1142" s="191"/>
      <c r="B1142" s="52"/>
      <c r="C1142" s="52"/>
      <c r="D1142" s="52"/>
      <c r="E1142" s="52"/>
      <c r="F1142" s="52"/>
      <c r="G1142" s="180"/>
      <c r="H1142" s="91"/>
      <c r="I1142" s="52"/>
      <c r="J1142" s="52"/>
      <c r="K1142" s="52"/>
      <c r="L1142" s="52"/>
      <c r="M1142" s="52"/>
      <c r="N1142" s="52"/>
      <c r="O1142" s="52"/>
      <c r="P1142" s="52"/>
      <c r="Q1142" s="52"/>
      <c r="R1142" s="180"/>
      <c r="S1142" s="180" t="s">
        <v>105</v>
      </c>
      <c r="T1142" s="44"/>
      <c r="U1142" s="86"/>
      <c r="V1142" s="44"/>
      <c r="W1142" s="86"/>
      <c r="X1142" s="46"/>
    </row>
    <row r="1143" spans="1:26" x14ac:dyDescent="0.2">
      <c r="A1143" s="191" t="s">
        <v>48</v>
      </c>
      <c r="B1143" s="91">
        <v>518400</v>
      </c>
      <c r="C1143" s="91">
        <v>3372348</v>
      </c>
      <c r="D1143" s="91">
        <v>5322461</v>
      </c>
      <c r="E1143" s="91">
        <v>1822859</v>
      </c>
      <c r="F1143" s="91">
        <v>0</v>
      </c>
      <c r="G1143" s="180">
        <f>SUM(B1143:F1143)</f>
        <v>11036068</v>
      </c>
      <c r="H1143" s="91"/>
      <c r="I1143" s="287">
        <v>4358292</v>
      </c>
      <c r="J1143" s="287">
        <v>2788925</v>
      </c>
      <c r="K1143" s="287">
        <v>1834269</v>
      </c>
      <c r="L1143" s="287">
        <v>1789926</v>
      </c>
      <c r="M1143" s="287">
        <v>0</v>
      </c>
      <c r="N1143" s="287">
        <v>679009</v>
      </c>
      <c r="O1143" s="287">
        <v>1307</v>
      </c>
      <c r="P1143" s="287">
        <v>1126693</v>
      </c>
      <c r="Q1143" s="287">
        <v>2120442</v>
      </c>
      <c r="R1143" s="288">
        <f>SUM(I1143:Q1143)</f>
        <v>14698863</v>
      </c>
      <c r="S1143" s="288">
        <v>915718</v>
      </c>
      <c r="T1143" s="287">
        <v>5985242</v>
      </c>
      <c r="U1143" s="86">
        <f>S1143-942000</f>
        <v>-26282</v>
      </c>
      <c r="V1143" s="44">
        <v>0</v>
      </c>
      <c r="W1143" s="86">
        <f>R1143+G1143+S1143+T1143</f>
        <v>32635891</v>
      </c>
      <c r="X1143" s="46"/>
      <c r="Z1143" s="219">
        <f>W1143-U1143-32662173</f>
        <v>0</v>
      </c>
    </row>
    <row r="1144" spans="1:26" x14ac:dyDescent="0.2">
      <c r="A1144" s="191" t="s">
        <v>42</v>
      </c>
      <c r="B1144" s="91">
        <f t="shared" ref="B1144:G1144" si="530">B1141+B1143-B1094</f>
        <v>3868800</v>
      </c>
      <c r="C1144" s="91">
        <f t="shared" si="530"/>
        <v>21480364.607999995</v>
      </c>
      <c r="D1144" s="91">
        <f t="shared" si="530"/>
        <v>56046273.568999991</v>
      </c>
      <c r="E1144" s="91">
        <f t="shared" si="530"/>
        <v>40899961.686000057</v>
      </c>
      <c r="F1144" s="91">
        <f t="shared" si="530"/>
        <v>7862123.3070000075</v>
      </c>
      <c r="G1144" s="180">
        <f t="shared" si="530"/>
        <v>130157523.17000008</v>
      </c>
      <c r="H1144" s="91"/>
      <c r="I1144" s="91">
        <f t="shared" ref="I1144:W1144" si="531">I1141+I1143-I1094</f>
        <v>34826143</v>
      </c>
      <c r="J1144" s="91">
        <f t="shared" si="531"/>
        <v>11471628</v>
      </c>
      <c r="K1144" s="91">
        <f t="shared" si="531"/>
        <v>14450989</v>
      </c>
      <c r="L1144" s="91">
        <f t="shared" si="531"/>
        <v>12443482</v>
      </c>
      <c r="M1144" s="91">
        <f t="shared" si="531"/>
        <v>15396193</v>
      </c>
      <c r="N1144" s="91">
        <f t="shared" si="531"/>
        <v>2406252</v>
      </c>
      <c r="O1144" s="91">
        <f t="shared" si="531"/>
        <v>3423001</v>
      </c>
      <c r="P1144" s="91">
        <f t="shared" si="531"/>
        <v>28921777</v>
      </c>
      <c r="Q1144" s="91">
        <f t="shared" si="531"/>
        <v>7810790</v>
      </c>
      <c r="R1144" s="180">
        <f t="shared" si="531"/>
        <v>131150255</v>
      </c>
      <c r="S1144" s="180">
        <f t="shared" si="531"/>
        <v>62500340.99999997</v>
      </c>
      <c r="T1144" s="215">
        <f t="shared" si="531"/>
        <v>50017654</v>
      </c>
      <c r="U1144" s="86">
        <f t="shared" si="531"/>
        <v>1804341</v>
      </c>
      <c r="V1144" s="289">
        <f t="shared" si="531"/>
        <v>0</v>
      </c>
      <c r="W1144" s="86">
        <f t="shared" si="531"/>
        <v>373825773.1700002</v>
      </c>
      <c r="X1144" s="46">
        <f>X1141+W1143</f>
        <v>10624139310.653</v>
      </c>
    </row>
    <row r="1145" spans="1:26" x14ac:dyDescent="0.2">
      <c r="A1145" s="191"/>
      <c r="B1145" s="52"/>
      <c r="C1145" s="52"/>
      <c r="D1145" s="52"/>
      <c r="E1145" s="52"/>
      <c r="F1145" s="52"/>
      <c r="G1145" s="180"/>
      <c r="H1145" s="91"/>
      <c r="I1145" s="52"/>
      <c r="J1145" s="52"/>
      <c r="K1145" s="52"/>
      <c r="L1145" s="52"/>
      <c r="M1145" s="52"/>
      <c r="N1145" s="52"/>
      <c r="O1145" s="52"/>
      <c r="P1145" s="52"/>
      <c r="Q1145" s="52"/>
      <c r="R1145" s="180"/>
      <c r="S1145" s="180"/>
      <c r="T1145" s="44"/>
      <c r="U1145" s="86"/>
      <c r="V1145" s="44"/>
      <c r="W1145" s="86"/>
      <c r="X1145" s="46"/>
    </row>
    <row r="1146" spans="1:26" x14ac:dyDescent="0.2">
      <c r="A1146" s="191" t="s">
        <v>49</v>
      </c>
      <c r="B1146" s="91">
        <v>528000</v>
      </c>
      <c r="C1146" s="91">
        <v>3202285</v>
      </c>
      <c r="D1146" s="91">
        <v>5024774</v>
      </c>
      <c r="E1146" s="91">
        <v>4086712</v>
      </c>
      <c r="F1146" s="91">
        <v>0</v>
      </c>
      <c r="G1146" s="180">
        <f>SUM(B1146:F1146)</f>
        <v>12841771</v>
      </c>
      <c r="H1146" s="91"/>
      <c r="I1146" s="91">
        <v>4438324</v>
      </c>
      <c r="J1146" s="91">
        <v>3316618</v>
      </c>
      <c r="K1146" s="253">
        <v>1965560</v>
      </c>
      <c r="L1146" s="253">
        <v>1881456</v>
      </c>
      <c r="M1146" s="91">
        <v>0</v>
      </c>
      <c r="N1146" s="91">
        <v>641305</v>
      </c>
      <c r="O1146" s="91">
        <v>0</v>
      </c>
      <c r="P1146" s="253">
        <v>1407257</v>
      </c>
      <c r="Q1146" s="91">
        <v>1714867</v>
      </c>
      <c r="R1146" s="180">
        <f>SUM(I1146:Q1146)</f>
        <v>15365387</v>
      </c>
      <c r="S1146" s="180">
        <v>1584753</v>
      </c>
      <c r="T1146" s="91">
        <v>9367106</v>
      </c>
      <c r="U1146" s="86">
        <f>S1146-1419000</f>
        <v>165753</v>
      </c>
      <c r="V1146" s="44">
        <v>0</v>
      </c>
      <c r="W1146" s="86">
        <f>R1146+G1146+S1146+T1146</f>
        <v>39159017</v>
      </c>
      <c r="X1146" s="46"/>
      <c r="Z1146" s="219">
        <f>W1146-U1146-38993264</f>
        <v>0</v>
      </c>
    </row>
    <row r="1147" spans="1:26" x14ac:dyDescent="0.2">
      <c r="A1147" s="191" t="s">
        <v>42</v>
      </c>
      <c r="B1147" s="91">
        <f t="shared" ref="B1147:G1147" si="532">B1144+B1146-B1097</f>
        <v>3998400</v>
      </c>
      <c r="C1147" s="91">
        <f t="shared" si="532"/>
        <v>21515344.259999994</v>
      </c>
      <c r="D1147" s="91">
        <f t="shared" si="532"/>
        <v>55133297.464999989</v>
      </c>
      <c r="E1147" s="91">
        <f t="shared" si="532"/>
        <v>40663877.946000054</v>
      </c>
      <c r="F1147" s="91">
        <f t="shared" si="532"/>
        <v>6454719.6270000078</v>
      </c>
      <c r="G1147" s="180">
        <f t="shared" si="532"/>
        <v>127765639.29800008</v>
      </c>
      <c r="H1147" s="91"/>
      <c r="I1147" s="91">
        <f t="shared" ref="I1147:W1147" si="533">I1144+I1146-I1097</f>
        <v>33591187</v>
      </c>
      <c r="J1147" s="91">
        <f t="shared" si="533"/>
        <v>10799668</v>
      </c>
      <c r="K1147" s="91">
        <f t="shared" si="533"/>
        <v>14552126</v>
      </c>
      <c r="L1147" s="91">
        <f t="shared" si="533"/>
        <v>12560742</v>
      </c>
      <c r="M1147" s="91">
        <f t="shared" si="533"/>
        <v>12170422</v>
      </c>
      <c r="N1147" s="91">
        <f t="shared" si="533"/>
        <v>2463963</v>
      </c>
      <c r="O1147" s="91">
        <f t="shared" si="533"/>
        <v>3423001</v>
      </c>
      <c r="P1147" s="91">
        <f t="shared" si="533"/>
        <v>27412097</v>
      </c>
      <c r="Q1147" s="91">
        <f t="shared" si="533"/>
        <v>7128784</v>
      </c>
      <c r="R1147" s="180">
        <f t="shared" si="533"/>
        <v>124101990</v>
      </c>
      <c r="S1147" s="180">
        <f t="shared" si="533"/>
        <v>51570904.99999997</v>
      </c>
      <c r="T1147" s="215">
        <f t="shared" si="533"/>
        <v>55110768</v>
      </c>
      <c r="U1147" s="86">
        <f t="shared" si="533"/>
        <v>1528905</v>
      </c>
      <c r="V1147" s="289">
        <f t="shared" si="533"/>
        <v>0</v>
      </c>
      <c r="W1147" s="86">
        <f t="shared" si="533"/>
        <v>358549302.29800022</v>
      </c>
      <c r="X1147" s="46">
        <f>X1144+W1146</f>
        <v>10663298327.653</v>
      </c>
    </row>
    <row r="1148" spans="1:26" x14ac:dyDescent="0.2">
      <c r="A1148" s="191"/>
      <c r="B1148" s="52"/>
      <c r="C1148" s="52"/>
      <c r="D1148" s="52"/>
      <c r="E1148" s="52"/>
      <c r="F1148" s="52"/>
      <c r="G1148" s="180"/>
      <c r="H1148" s="91"/>
      <c r="I1148" s="52"/>
      <c r="J1148" s="52"/>
      <c r="K1148" s="52"/>
      <c r="L1148" s="52"/>
      <c r="M1148" s="52"/>
      <c r="N1148" s="52"/>
      <c r="O1148" s="52"/>
      <c r="P1148" s="52"/>
      <c r="Q1148" s="52"/>
      <c r="R1148" s="180"/>
      <c r="S1148" s="180"/>
      <c r="T1148" s="44"/>
      <c r="U1148" s="86"/>
      <c r="V1148" s="44"/>
      <c r="W1148" s="86"/>
      <c r="X1148" s="46"/>
    </row>
    <row r="1149" spans="1:26" x14ac:dyDescent="0.2">
      <c r="A1149" s="191" t="s">
        <v>50</v>
      </c>
      <c r="B1149" s="91">
        <v>523200</v>
      </c>
      <c r="C1149" s="91">
        <v>2869630</v>
      </c>
      <c r="D1149" s="91">
        <v>4874981</v>
      </c>
      <c r="E1149" s="91">
        <v>4539228</v>
      </c>
      <c r="F1149" s="91">
        <v>0</v>
      </c>
      <c r="G1149" s="180">
        <f>SUM(B1149:F1149)</f>
        <v>12807039</v>
      </c>
      <c r="H1149" s="91"/>
      <c r="I1149" s="91">
        <v>3414659</v>
      </c>
      <c r="J1149" s="91">
        <v>155906</v>
      </c>
      <c r="K1149" s="253">
        <v>1862531</v>
      </c>
      <c r="L1149" s="253">
        <v>1847581</v>
      </c>
      <c r="M1149" s="91">
        <v>0</v>
      </c>
      <c r="N1149" s="91">
        <v>621986</v>
      </c>
      <c r="O1149" s="91">
        <v>4062</v>
      </c>
      <c r="P1149" s="253">
        <v>1326843</v>
      </c>
      <c r="Q1149" s="91">
        <v>1181213</v>
      </c>
      <c r="R1149" s="180">
        <f>SUM(I1149:Q1149)</f>
        <v>10414781</v>
      </c>
      <c r="S1149" s="180">
        <v>2035448</v>
      </c>
      <c r="T1149" s="91">
        <v>8917532</v>
      </c>
      <c r="U1149" s="86">
        <f>S1149-1868000</f>
        <v>167448</v>
      </c>
      <c r="V1149" s="44">
        <v>0</v>
      </c>
      <c r="W1149" s="86">
        <f>R1149+G1149+S1149+T1149</f>
        <v>34174800</v>
      </c>
      <c r="X1149" s="46"/>
      <c r="Z1149" s="219">
        <f>W1149-U1149-34007352</f>
        <v>0</v>
      </c>
    </row>
    <row r="1150" spans="1:26" x14ac:dyDescent="0.2">
      <c r="A1150" s="191" t="s">
        <v>42</v>
      </c>
      <c r="B1150" s="91">
        <f t="shared" ref="B1150:G1150" si="534">B1147+B1149-B1100</f>
        <v>4094400</v>
      </c>
      <c r="C1150" s="91">
        <f t="shared" si="534"/>
        <v>21541497.999999993</v>
      </c>
      <c r="D1150" s="91">
        <f t="shared" si="534"/>
        <v>54625408.999999985</v>
      </c>
      <c r="E1150" s="91">
        <f t="shared" si="534"/>
        <v>42757194.000000052</v>
      </c>
      <c r="F1150" s="91">
        <f t="shared" si="534"/>
        <v>5327988.0000000075</v>
      </c>
      <c r="G1150" s="180">
        <f t="shared" si="534"/>
        <v>128346489.00000009</v>
      </c>
      <c r="H1150" s="91"/>
      <c r="I1150" s="91">
        <f t="shared" ref="I1150:W1150" si="535">I1147+I1149-I1100</f>
        <v>31994486</v>
      </c>
      <c r="J1150" s="91">
        <f t="shared" si="535"/>
        <v>7320281</v>
      </c>
      <c r="K1150" s="91">
        <f t="shared" si="535"/>
        <v>14701692</v>
      </c>
      <c r="L1150" s="91">
        <f t="shared" si="535"/>
        <v>12807091</v>
      </c>
      <c r="M1150" s="91">
        <f t="shared" si="535"/>
        <v>8748470</v>
      </c>
      <c r="N1150" s="91">
        <f t="shared" si="535"/>
        <v>2553513</v>
      </c>
      <c r="O1150" s="91">
        <f t="shared" si="535"/>
        <v>3427063</v>
      </c>
      <c r="P1150" s="91">
        <f t="shared" si="535"/>
        <v>26677854</v>
      </c>
      <c r="Q1150" s="91">
        <f t="shared" si="535"/>
        <v>6218483</v>
      </c>
      <c r="R1150" s="180">
        <f t="shared" si="535"/>
        <v>114448933</v>
      </c>
      <c r="S1150" s="180">
        <f t="shared" si="535"/>
        <v>41828124.99999997</v>
      </c>
      <c r="T1150" s="215">
        <f t="shared" si="535"/>
        <v>58773042</v>
      </c>
      <c r="U1150" s="86">
        <f t="shared" si="535"/>
        <v>1678125</v>
      </c>
      <c r="V1150" s="289">
        <f t="shared" si="535"/>
        <v>0</v>
      </c>
      <c r="W1150" s="86">
        <f t="shared" si="535"/>
        <v>343396589.00000024</v>
      </c>
      <c r="X1150" s="46">
        <f>X1147+W1149</f>
        <v>10697473127.653</v>
      </c>
    </row>
    <row r="1151" spans="1:26" x14ac:dyDescent="0.2">
      <c r="A1151" s="191"/>
      <c r="B1151" s="52"/>
      <c r="C1151" s="52"/>
      <c r="D1151" s="52"/>
      <c r="E1151" s="52"/>
      <c r="F1151" s="52"/>
      <c r="G1151" s="180"/>
      <c r="H1151" s="91"/>
      <c r="I1151" s="52"/>
      <c r="J1151" s="52"/>
      <c r="K1151" s="52"/>
      <c r="L1151" s="52"/>
      <c r="M1151" s="52"/>
      <c r="N1151" s="52"/>
      <c r="O1151" s="52"/>
      <c r="P1151" s="52"/>
      <c r="Q1151" s="52"/>
      <c r="R1151" s="180"/>
      <c r="S1151" s="180"/>
      <c r="T1151" s="44"/>
      <c r="U1151" s="86"/>
      <c r="V1151" s="44"/>
      <c r="W1151" s="86"/>
      <c r="X1151" s="46"/>
    </row>
    <row r="1152" spans="1:26" x14ac:dyDescent="0.2">
      <c r="A1152" s="191" t="s">
        <v>51</v>
      </c>
      <c r="B1152" s="91">
        <v>499200</v>
      </c>
      <c r="C1152" s="91">
        <v>1613783</v>
      </c>
      <c r="D1152" s="91">
        <v>3637849</v>
      </c>
      <c r="E1152" s="91">
        <v>6314580</v>
      </c>
      <c r="F1152" s="91">
        <v>0</v>
      </c>
      <c r="G1152" s="180">
        <f>SUM(B1152:F1152)</f>
        <v>12065412</v>
      </c>
      <c r="H1152" s="91"/>
      <c r="I1152" s="91">
        <v>3734646</v>
      </c>
      <c r="J1152" s="91">
        <v>0</v>
      </c>
      <c r="K1152" s="287">
        <v>1408511</v>
      </c>
      <c r="L1152" s="287">
        <v>1369979</v>
      </c>
      <c r="M1152" s="287">
        <v>1270191</v>
      </c>
      <c r="N1152" s="287">
        <v>571236</v>
      </c>
      <c r="O1152" s="287">
        <v>0</v>
      </c>
      <c r="P1152" s="287">
        <v>1597037</v>
      </c>
      <c r="Q1152" s="91">
        <v>2169966</v>
      </c>
      <c r="R1152" s="180">
        <f>SUM(I1152:Q1152)</f>
        <v>12121566</v>
      </c>
      <c r="S1152" s="180">
        <v>7450072</v>
      </c>
      <c r="T1152" s="287">
        <v>5229096</v>
      </c>
      <c r="U1152" s="86">
        <f>S1152-7160500</f>
        <v>289572</v>
      </c>
      <c r="V1152" s="44">
        <v>0</v>
      </c>
      <c r="W1152" s="86">
        <f>R1152+G1152+S1152+T1152</f>
        <v>36866146</v>
      </c>
      <c r="X1152" s="46"/>
      <c r="Z1152" s="219">
        <f>W1152-U1152-36576575</f>
        <v>-1</v>
      </c>
    </row>
    <row r="1153" spans="1:26" x14ac:dyDescent="0.2">
      <c r="A1153" s="191" t="s">
        <v>42</v>
      </c>
      <c r="B1153" s="91">
        <f t="shared" ref="B1153:G1153" si="536">B1150+B1152-B1103</f>
        <v>4156800</v>
      </c>
      <c r="C1153" s="91">
        <f t="shared" si="536"/>
        <v>20266899.999999993</v>
      </c>
      <c r="D1153" s="91">
        <f t="shared" si="536"/>
        <v>53158201.999999985</v>
      </c>
      <c r="E1153" s="91">
        <f t="shared" si="536"/>
        <v>46553619.000000052</v>
      </c>
      <c r="F1153" s="91">
        <f t="shared" si="536"/>
        <v>3684216.0000000075</v>
      </c>
      <c r="G1153" s="180">
        <f t="shared" si="536"/>
        <v>127819737.00000009</v>
      </c>
      <c r="H1153" s="91"/>
      <c r="I1153" s="91">
        <f t="shared" ref="I1153:W1153" si="537">I1150+I1152-I1103</f>
        <v>32657555</v>
      </c>
      <c r="J1153" s="91">
        <f t="shared" si="537"/>
        <v>6972175</v>
      </c>
      <c r="K1153" s="91">
        <f t="shared" si="537"/>
        <v>14805056</v>
      </c>
      <c r="L1153" s="91">
        <f t="shared" si="537"/>
        <v>14177070</v>
      </c>
      <c r="M1153" s="91">
        <f t="shared" si="537"/>
        <v>7368043</v>
      </c>
      <c r="N1153" s="91">
        <f t="shared" si="537"/>
        <v>3114800</v>
      </c>
      <c r="O1153" s="91">
        <f t="shared" si="537"/>
        <v>3427063</v>
      </c>
      <c r="P1153" s="91">
        <f t="shared" si="537"/>
        <v>25020287</v>
      </c>
      <c r="Q1153" s="91">
        <f t="shared" si="537"/>
        <v>8388449</v>
      </c>
      <c r="R1153" s="180">
        <f t="shared" si="537"/>
        <v>115930498</v>
      </c>
      <c r="S1153" s="180">
        <f t="shared" si="537"/>
        <v>46572932.99999997</v>
      </c>
      <c r="T1153" s="215">
        <f t="shared" si="537"/>
        <v>59345028</v>
      </c>
      <c r="U1153" s="86">
        <f t="shared" si="537"/>
        <v>1566433</v>
      </c>
      <c r="V1153" s="289">
        <f t="shared" si="537"/>
        <v>0</v>
      </c>
      <c r="W1153" s="86">
        <f t="shared" si="537"/>
        <v>349668196.00000024</v>
      </c>
      <c r="X1153" s="46">
        <f>X1150+W1152</f>
        <v>10734339273.653</v>
      </c>
    </row>
    <row r="1154" spans="1:26" x14ac:dyDescent="0.2">
      <c r="A1154" s="191"/>
      <c r="B1154" s="52"/>
      <c r="C1154" s="52"/>
      <c r="D1154" s="52"/>
      <c r="E1154" s="52"/>
      <c r="F1154" s="52"/>
      <c r="G1154" s="180"/>
      <c r="H1154" s="91"/>
      <c r="I1154" s="52"/>
      <c r="J1154" s="52"/>
      <c r="K1154" s="52"/>
      <c r="L1154" s="52"/>
      <c r="M1154" s="52"/>
      <c r="N1154" s="52"/>
      <c r="O1154" s="52"/>
      <c r="P1154" s="52"/>
      <c r="Q1154" s="52"/>
      <c r="R1154" s="180"/>
      <c r="S1154" s="180"/>
      <c r="T1154" s="44"/>
      <c r="U1154" s="86"/>
      <c r="V1154" s="44"/>
      <c r="W1154" s="86"/>
      <c r="X1154" s="46"/>
    </row>
    <row r="1155" spans="1:26" x14ac:dyDescent="0.2">
      <c r="A1155" s="191" t="s">
        <v>52</v>
      </c>
      <c r="B1155" s="91">
        <v>427200</v>
      </c>
      <c r="C1155" s="91">
        <v>1620800</v>
      </c>
      <c r="D1155" s="91">
        <v>4196587</v>
      </c>
      <c r="E1155" s="91">
        <v>2960026</v>
      </c>
      <c r="F1155" s="91">
        <v>0</v>
      </c>
      <c r="G1155" s="180">
        <f>SUM(B1155:F1155)</f>
        <v>9204613</v>
      </c>
      <c r="H1155" s="91"/>
      <c r="I1155" s="91">
        <v>2722558</v>
      </c>
      <c r="J1155" s="91">
        <v>0</v>
      </c>
      <c r="K1155" s="253">
        <v>1252392</v>
      </c>
      <c r="L1155" s="253">
        <v>1112562</v>
      </c>
      <c r="M1155" s="91">
        <v>0</v>
      </c>
      <c r="N1155" s="91">
        <v>506843</v>
      </c>
      <c r="O1155" s="91">
        <v>0</v>
      </c>
      <c r="P1155" s="301">
        <v>2784655</v>
      </c>
      <c r="Q1155" s="91">
        <v>1246446</v>
      </c>
      <c r="R1155" s="180">
        <f>SUM(I1155:Q1155)</f>
        <v>9625456</v>
      </c>
      <c r="S1155" s="180">
        <v>6037885.3260000004</v>
      </c>
      <c r="T1155" s="253">
        <v>7640656</v>
      </c>
      <c r="U1155" s="86">
        <f>S1155-5221500</f>
        <v>816385.32600000035</v>
      </c>
      <c r="V1155" s="44">
        <v>0</v>
      </c>
      <c r="W1155" s="86">
        <f>R1155+G1155+S1155+T1155</f>
        <v>32508610.326000001</v>
      </c>
      <c r="X1155" s="46"/>
      <c r="Z1155" s="219">
        <f>W1155-U1155-31692225</f>
        <v>0</v>
      </c>
    </row>
    <row r="1156" spans="1:26" x14ac:dyDescent="0.2">
      <c r="A1156" s="191" t="s">
        <v>42</v>
      </c>
      <c r="B1156" s="91">
        <f t="shared" ref="B1156:G1156" si="538">B1153+B1155-B1106</f>
        <v>4512000</v>
      </c>
      <c r="C1156" s="91">
        <f t="shared" si="538"/>
        <v>21358431.999999993</v>
      </c>
      <c r="D1156" s="91">
        <f t="shared" si="538"/>
        <v>54265345.999999985</v>
      </c>
      <c r="E1156" s="91">
        <f t="shared" si="538"/>
        <v>46209416.000000052</v>
      </c>
      <c r="F1156" s="91">
        <f t="shared" si="538"/>
        <v>2188546.0000000075</v>
      </c>
      <c r="G1156" s="180">
        <f t="shared" si="538"/>
        <v>128533740.00000009</v>
      </c>
      <c r="H1156" s="91"/>
      <c r="I1156" s="91">
        <f t="shared" ref="I1156:W1156" si="539">I1153+I1155-I1106</f>
        <v>33263852</v>
      </c>
      <c r="J1156" s="91">
        <f t="shared" si="539"/>
        <v>6972175</v>
      </c>
      <c r="K1156" s="91">
        <f t="shared" si="539"/>
        <v>15793611</v>
      </c>
      <c r="L1156" s="91">
        <f t="shared" si="539"/>
        <v>15100112</v>
      </c>
      <c r="M1156" s="91">
        <f t="shared" si="539"/>
        <v>5153418</v>
      </c>
      <c r="N1156" s="91">
        <f t="shared" si="539"/>
        <v>3621643</v>
      </c>
      <c r="O1156" s="91">
        <f t="shared" si="539"/>
        <v>3427063</v>
      </c>
      <c r="P1156" s="91">
        <f t="shared" si="539"/>
        <v>24572383</v>
      </c>
      <c r="Q1156" s="91">
        <f t="shared" si="539"/>
        <v>9634895</v>
      </c>
      <c r="R1156" s="180">
        <f t="shared" si="539"/>
        <v>117539152</v>
      </c>
      <c r="S1156" s="180">
        <f t="shared" si="539"/>
        <v>48301613.325999968</v>
      </c>
      <c r="T1156" s="215">
        <f t="shared" si="539"/>
        <v>64977684</v>
      </c>
      <c r="U1156" s="86">
        <f t="shared" si="539"/>
        <v>2214613.3260000004</v>
      </c>
      <c r="V1156" s="289">
        <f t="shared" si="539"/>
        <v>0</v>
      </c>
      <c r="W1156" s="86">
        <f t="shared" si="539"/>
        <v>359352189.32600021</v>
      </c>
      <c r="X1156" s="46">
        <f>X1153+W1155</f>
        <v>10766847883.979</v>
      </c>
    </row>
    <row r="1157" spans="1:26" x14ac:dyDescent="0.2">
      <c r="A1157" s="191"/>
      <c r="B1157" s="52"/>
      <c r="C1157" s="52"/>
      <c r="D1157" s="52"/>
      <c r="E1157" s="52"/>
      <c r="F1157" s="52"/>
      <c r="G1157" s="180"/>
      <c r="H1157" s="91"/>
      <c r="I1157" s="52"/>
      <c r="J1157" s="52"/>
      <c r="K1157" s="52"/>
      <c r="L1157" s="52"/>
      <c r="M1157" s="52"/>
      <c r="N1157" s="52"/>
      <c r="O1157" s="52"/>
      <c r="P1157" s="52"/>
      <c r="Q1157" s="52"/>
      <c r="R1157" s="180"/>
      <c r="S1157" s="180"/>
      <c r="T1157" s="44"/>
      <c r="U1157" s="86"/>
      <c r="V1157" s="44"/>
      <c r="W1157" s="86"/>
      <c r="X1157" s="46"/>
    </row>
    <row r="1158" spans="1:26" x14ac:dyDescent="0.2">
      <c r="A1158" s="245" t="s">
        <v>53</v>
      </c>
      <c r="B1158" s="91">
        <v>110400</v>
      </c>
      <c r="C1158" s="91">
        <v>1226209</v>
      </c>
      <c r="D1158" s="91">
        <v>3084193</v>
      </c>
      <c r="E1158" s="91">
        <v>1988413</v>
      </c>
      <c r="F1158" s="91">
        <v>0</v>
      </c>
      <c r="G1158" s="180">
        <f>SUM(B1158:F1158)</f>
        <v>6409215</v>
      </c>
      <c r="H1158" s="91"/>
      <c r="I1158" s="91">
        <v>293921</v>
      </c>
      <c r="J1158" s="253">
        <v>0</v>
      </c>
      <c r="K1158" s="253">
        <v>1357659</v>
      </c>
      <c r="L1158" s="253">
        <v>1318564</v>
      </c>
      <c r="M1158" s="91"/>
      <c r="N1158" s="91">
        <v>124758</v>
      </c>
      <c r="O1158" s="91">
        <v>0</v>
      </c>
      <c r="P1158" s="253">
        <v>3154551</v>
      </c>
      <c r="Q1158" s="91">
        <v>0</v>
      </c>
      <c r="R1158" s="180">
        <f>SUM(I1158:Q1158)</f>
        <v>6249453</v>
      </c>
      <c r="S1158" s="180">
        <v>2793093.6460000002</v>
      </c>
      <c r="T1158" s="253">
        <v>4596504</v>
      </c>
      <c r="U1158" s="86">
        <f>S1158-2304000</f>
        <v>489093.64600000018</v>
      </c>
      <c r="V1158" s="44">
        <v>0</v>
      </c>
      <c r="W1158" s="86">
        <f>R1158+G1158+S1158+T1158</f>
        <v>20048265.645999998</v>
      </c>
      <c r="X1158" s="46"/>
      <c r="Z1158" s="219">
        <f>W1158-U1158-19559172</f>
        <v>0</v>
      </c>
    </row>
    <row r="1159" spans="1:26" ht="13.5" thickBot="1" x14ac:dyDescent="0.25">
      <c r="A1159" s="192" t="s">
        <v>42</v>
      </c>
      <c r="B1159" s="187">
        <f t="shared" ref="B1159:G1159" si="540">B1156+B1158-B1109</f>
        <v>4243200</v>
      </c>
      <c r="C1159" s="187">
        <f t="shared" si="540"/>
        <v>22584640.999999993</v>
      </c>
      <c r="D1159" s="187">
        <f t="shared" si="540"/>
        <v>54093724.999999985</v>
      </c>
      <c r="E1159" s="187">
        <f t="shared" si="540"/>
        <v>42739051.000000052</v>
      </c>
      <c r="F1159" s="187">
        <f t="shared" si="540"/>
        <v>276467.00000000745</v>
      </c>
      <c r="G1159" s="188">
        <f t="shared" si="540"/>
        <v>123937084.00000009</v>
      </c>
      <c r="H1159" s="187"/>
      <c r="I1159" s="187">
        <f t="shared" ref="I1159:W1159" si="541">I1156+I1158-I1109</f>
        <v>30976252</v>
      </c>
      <c r="J1159" s="187">
        <f t="shared" si="541"/>
        <v>6972175</v>
      </c>
      <c r="K1159" s="187">
        <f t="shared" si="541"/>
        <v>17151270</v>
      </c>
      <c r="L1159" s="187">
        <f t="shared" si="541"/>
        <v>16418676</v>
      </c>
      <c r="M1159" s="187">
        <f t="shared" si="541"/>
        <v>4712047</v>
      </c>
      <c r="N1159" s="187">
        <f t="shared" si="541"/>
        <v>3746401</v>
      </c>
      <c r="O1159" s="187">
        <f t="shared" si="541"/>
        <v>3427063</v>
      </c>
      <c r="P1159" s="187">
        <f t="shared" si="541"/>
        <v>25842766</v>
      </c>
      <c r="Q1159" s="187">
        <f t="shared" si="541"/>
        <v>9634895</v>
      </c>
      <c r="R1159" s="188">
        <f t="shared" si="541"/>
        <v>118881545</v>
      </c>
      <c r="S1159" s="188">
        <f t="shared" si="541"/>
        <v>44584772.971999966</v>
      </c>
      <c r="T1159" s="262">
        <f t="shared" si="541"/>
        <v>64909700</v>
      </c>
      <c r="U1159" s="224">
        <f t="shared" si="541"/>
        <v>2434272.9720000005</v>
      </c>
      <c r="V1159" s="290">
        <f t="shared" si="541"/>
        <v>0</v>
      </c>
      <c r="W1159" s="224">
        <f t="shared" si="541"/>
        <v>352313101.97200024</v>
      </c>
      <c r="X1159" s="190">
        <f>X1156+W1158</f>
        <v>10786896149.625</v>
      </c>
    </row>
    <row r="1160" spans="1:26" x14ac:dyDescent="0.2">
      <c r="A1160" s="211" t="s">
        <v>226</v>
      </c>
      <c r="M1160" t="s">
        <v>241</v>
      </c>
      <c r="N1160" t="s">
        <v>225</v>
      </c>
      <c r="O1160" t="s">
        <v>243</v>
      </c>
      <c r="P1160" t="s">
        <v>242</v>
      </c>
    </row>
    <row r="1161" spans="1:26" x14ac:dyDescent="0.2">
      <c r="A1161" s="211" t="s">
        <v>142</v>
      </c>
      <c r="M1161" s="219">
        <f>J1159+K1159+L1159+P1159+T1159</f>
        <v>131294587</v>
      </c>
      <c r="N1161" s="219">
        <f>M1159+N1159+O1159+Q1159</f>
        <v>21520406</v>
      </c>
      <c r="O1161" s="219">
        <f>S1159-U1159</f>
        <v>42150499.999999963</v>
      </c>
      <c r="P1161" s="219">
        <f>G1159+I1159+M1161+N1161+O1161</f>
        <v>349878829.00000006</v>
      </c>
      <c r="S1161" s="282" t="s">
        <v>238</v>
      </c>
      <c r="T1161" s="219"/>
    </row>
    <row r="1162" spans="1:26" x14ac:dyDescent="0.2">
      <c r="A1162" s="211" t="s">
        <v>182</v>
      </c>
      <c r="S1162" t="s">
        <v>122</v>
      </c>
    </row>
    <row r="1163" spans="1:26" x14ac:dyDescent="0.2">
      <c r="A1163" s="211"/>
      <c r="B1163" s="243"/>
      <c r="C1163" s="280"/>
      <c r="D1163" s="243"/>
      <c r="I1163" s="283">
        <f>I1094+I1097+I1100+I1103+I1106+I1109+I1125+I1128+I1131+I1134+I1137+I1140</f>
        <v>35743929</v>
      </c>
      <c r="J1163" s="283">
        <f t="shared" ref="J1163:Q1163" si="542">J1094+J1097+J1100+J1103+J1106+J1109+J1125+J1128+J1131+J1134+J1137+J1140</f>
        <v>12018419</v>
      </c>
      <c r="K1163" s="283">
        <f t="shared" si="542"/>
        <v>14334801</v>
      </c>
      <c r="L1163" s="283">
        <f t="shared" si="542"/>
        <v>12401633</v>
      </c>
      <c r="M1163" s="283">
        <f t="shared" si="542"/>
        <v>18910403</v>
      </c>
      <c r="N1163" s="283">
        <f t="shared" si="542"/>
        <v>2145741</v>
      </c>
      <c r="O1163" s="283">
        <f t="shared" si="542"/>
        <v>3421694</v>
      </c>
      <c r="P1163" s="283">
        <f t="shared" si="542"/>
        <v>30960720</v>
      </c>
      <c r="Q1163" s="283">
        <f t="shared" si="542"/>
        <v>7966654</v>
      </c>
    </row>
    <row r="1164" spans="1:26" x14ac:dyDescent="0.2">
      <c r="E1164" s="284"/>
      <c r="F1164" s="285" t="s">
        <v>230</v>
      </c>
    </row>
    <row r="1166" spans="1:26" ht="27" x14ac:dyDescent="0.35">
      <c r="A1166" s="126" t="s">
        <v>240</v>
      </c>
      <c r="B1166" s="121"/>
      <c r="C1166" s="121"/>
      <c r="D1166" s="122"/>
      <c r="E1166" s="121"/>
      <c r="F1166" s="121"/>
      <c r="G1166" s="121"/>
      <c r="H1166" s="121"/>
      <c r="I1166" s="121"/>
      <c r="J1166" s="121"/>
      <c r="K1166" s="121"/>
      <c r="L1166" s="123"/>
      <c r="M1166" s="124"/>
      <c r="N1166" s="121"/>
      <c r="O1166" s="121"/>
      <c r="P1166" s="121"/>
      <c r="Q1166" s="121"/>
      <c r="R1166" s="121"/>
      <c r="S1166" s="121"/>
      <c r="T1166" s="121"/>
      <c r="U1166" s="121"/>
      <c r="V1166" s="121"/>
      <c r="W1166" s="125"/>
      <c r="X1166" s="121"/>
    </row>
    <row r="1167" spans="1:26" x14ac:dyDescent="0.2">
      <c r="A1167" s="52"/>
      <c r="B1167" s="52"/>
      <c r="C1167" s="21"/>
      <c r="D1167" s="115"/>
      <c r="E1167" s="52"/>
      <c r="F1167" s="115"/>
      <c r="G1167" s="248" t="s">
        <v>60</v>
      </c>
      <c r="H1167" s="115"/>
      <c r="I1167" s="115"/>
      <c r="J1167" s="115"/>
      <c r="K1167" s="52"/>
      <c r="L1167" s="115"/>
      <c r="M1167" s="52"/>
      <c r="N1167" s="52"/>
      <c r="O1167" s="52"/>
      <c r="P1167" s="52"/>
      <c r="Q1167" s="52"/>
      <c r="R1167" s="52"/>
      <c r="S1167" s="52"/>
      <c r="T1167" s="52"/>
      <c r="U1167" s="52"/>
      <c r="V1167" s="52"/>
      <c r="W1167" s="91"/>
      <c r="X1167" s="91"/>
    </row>
    <row r="1168" spans="1:26" ht="27.75" thickBot="1" x14ac:dyDescent="0.4">
      <c r="A1168" s="126" t="s">
        <v>107</v>
      </c>
      <c r="B1168" s="121"/>
      <c r="C1168" s="121"/>
      <c r="D1168" s="121"/>
      <c r="E1168" s="121"/>
      <c r="F1168" s="122"/>
      <c r="G1168" s="121"/>
      <c r="H1168" s="121"/>
      <c r="I1168" s="121"/>
      <c r="J1168" s="121"/>
      <c r="K1168" s="121"/>
      <c r="L1168" s="121"/>
      <c r="M1168" s="121"/>
      <c r="N1168" s="121"/>
      <c r="O1168" s="121"/>
      <c r="P1168" s="121"/>
      <c r="Q1168" s="121"/>
      <c r="R1168" s="121"/>
      <c r="S1168" s="121"/>
      <c r="T1168" s="121"/>
      <c r="U1168" s="121"/>
      <c r="V1168" s="121"/>
      <c r="W1168" s="125"/>
      <c r="X1168" s="125"/>
    </row>
    <row r="1169" spans="1:26" x14ac:dyDescent="0.2">
      <c r="A1169" s="174"/>
      <c r="B1169" s="173"/>
      <c r="C1169" s="173"/>
      <c r="D1169" s="173"/>
      <c r="E1169" s="173"/>
      <c r="F1169" s="173"/>
      <c r="G1169" s="173"/>
      <c r="H1169" s="173"/>
      <c r="I1169" s="173"/>
      <c r="J1169" s="173"/>
      <c r="K1169" s="173"/>
      <c r="L1169" s="173"/>
      <c r="M1169" s="173"/>
      <c r="N1169" s="173"/>
      <c r="O1169" s="173"/>
      <c r="P1169" s="173"/>
      <c r="Q1169" s="173"/>
      <c r="R1169" s="173"/>
      <c r="S1169" s="173"/>
      <c r="T1169" s="173"/>
      <c r="U1169" s="173"/>
      <c r="V1169" s="173"/>
      <c r="W1169" s="173"/>
      <c r="X1169" s="181"/>
    </row>
    <row r="1170" spans="1:26" ht="13.5" thickBot="1" x14ac:dyDescent="0.25">
      <c r="A1170" s="176"/>
      <c r="B1170" s="179" t="s">
        <v>112</v>
      </c>
      <c r="C1170" s="177"/>
      <c r="D1170" s="177"/>
      <c r="E1170" s="177"/>
      <c r="F1170" s="177"/>
      <c r="G1170" s="177"/>
      <c r="H1170" s="177"/>
      <c r="I1170" s="177"/>
      <c r="J1170" s="177"/>
      <c r="K1170" s="177"/>
      <c r="L1170" s="179" t="s">
        <v>113</v>
      </c>
      <c r="M1170" s="177"/>
      <c r="N1170" s="177"/>
      <c r="O1170" s="177"/>
      <c r="P1170" s="177"/>
      <c r="Q1170" s="177"/>
      <c r="R1170" s="177"/>
      <c r="S1170" s="177"/>
      <c r="T1170" s="177"/>
      <c r="U1170" s="177"/>
      <c r="V1170" s="177"/>
      <c r="W1170" s="177"/>
      <c r="X1170" s="182"/>
    </row>
    <row r="1171" spans="1:26" x14ac:dyDescent="0.2">
      <c r="A1171" s="175"/>
      <c r="B1171" s="155" t="s">
        <v>11</v>
      </c>
      <c r="C1171" s="155" t="s">
        <v>12</v>
      </c>
      <c r="D1171" s="155" t="s">
        <v>13</v>
      </c>
      <c r="E1171" s="155" t="s">
        <v>14</v>
      </c>
      <c r="F1171" s="155" t="s">
        <v>15</v>
      </c>
      <c r="G1171" s="193" t="s">
        <v>16</v>
      </c>
      <c r="H1171" s="21"/>
      <c r="I1171" s="155" t="s">
        <v>17</v>
      </c>
      <c r="J1171" s="21"/>
      <c r="K1171" s="21"/>
      <c r="L1171" s="21"/>
      <c r="M1171" s="21"/>
      <c r="N1171" s="155" t="s">
        <v>18</v>
      </c>
      <c r="O1171" s="155" t="s">
        <v>19</v>
      </c>
      <c r="P1171" s="155" t="s">
        <v>20</v>
      </c>
      <c r="Q1171" s="155" t="s">
        <v>21</v>
      </c>
      <c r="R1171" s="193" t="s">
        <v>16</v>
      </c>
      <c r="S1171" s="193" t="s">
        <v>114</v>
      </c>
      <c r="T1171" s="209" t="s">
        <v>127</v>
      </c>
      <c r="U1171" s="207" t="s">
        <v>138</v>
      </c>
      <c r="V1171" s="221" t="s">
        <v>136</v>
      </c>
      <c r="W1171" s="155" t="s">
        <v>7</v>
      </c>
      <c r="X1171" s="194" t="s">
        <v>70</v>
      </c>
    </row>
    <row r="1172" spans="1:26" ht="13.5" thickBot="1" x14ac:dyDescent="0.25">
      <c r="A1172" s="176"/>
      <c r="B1172" s="179" t="s">
        <v>23</v>
      </c>
      <c r="C1172" s="179" t="s">
        <v>24</v>
      </c>
      <c r="D1172" s="179" t="s">
        <v>25</v>
      </c>
      <c r="E1172" s="179" t="s">
        <v>26</v>
      </c>
      <c r="F1172" s="179" t="s">
        <v>27</v>
      </c>
      <c r="G1172" s="195" t="s">
        <v>28</v>
      </c>
      <c r="H1172" s="179"/>
      <c r="I1172" s="179" t="s">
        <v>29</v>
      </c>
      <c r="J1172" s="179" t="s">
        <v>30</v>
      </c>
      <c r="K1172" s="179" t="s">
        <v>31</v>
      </c>
      <c r="L1172" s="179" t="s">
        <v>32</v>
      </c>
      <c r="M1172" s="179" t="s">
        <v>33</v>
      </c>
      <c r="N1172" s="179" t="s">
        <v>34</v>
      </c>
      <c r="O1172" s="179" t="s">
        <v>35</v>
      </c>
      <c r="P1172" s="179" t="s">
        <v>36</v>
      </c>
      <c r="Q1172" s="179" t="s">
        <v>37</v>
      </c>
      <c r="R1172" s="195" t="s">
        <v>28</v>
      </c>
      <c r="S1172" s="195" t="s">
        <v>129</v>
      </c>
      <c r="T1172" s="210" t="s">
        <v>130</v>
      </c>
      <c r="U1172" s="179" t="s">
        <v>139</v>
      </c>
      <c r="V1172" s="222" t="s">
        <v>143</v>
      </c>
      <c r="W1172" s="179" t="s">
        <v>181</v>
      </c>
      <c r="X1172" s="196" t="s">
        <v>71</v>
      </c>
    </row>
    <row r="1173" spans="1:26" x14ac:dyDescent="0.2">
      <c r="A1173" s="175"/>
      <c r="B1173" s="117"/>
      <c r="C1173" s="117"/>
      <c r="D1173" s="117"/>
      <c r="E1173" s="117"/>
      <c r="F1173" s="117"/>
      <c r="G1173" s="178"/>
      <c r="H1173" s="52"/>
      <c r="I1173" s="117"/>
      <c r="J1173" s="117"/>
      <c r="K1173" s="117"/>
      <c r="L1173" s="117"/>
      <c r="M1173" s="117"/>
      <c r="N1173" s="117"/>
      <c r="O1173" s="117"/>
      <c r="P1173" s="117"/>
      <c r="Q1173" s="117"/>
      <c r="R1173" s="178"/>
      <c r="S1173" s="208"/>
      <c r="T1173" s="185"/>
      <c r="U1173" s="185"/>
      <c r="V1173" s="185"/>
      <c r="W1173" s="185"/>
      <c r="X1173" s="183"/>
    </row>
    <row r="1174" spans="1:26" x14ac:dyDescent="0.2">
      <c r="A1174" s="191" t="s">
        <v>41</v>
      </c>
      <c r="B1174" s="91">
        <v>0</v>
      </c>
      <c r="C1174" s="91">
        <v>540568.36899999995</v>
      </c>
      <c r="D1174" s="91">
        <v>5165762.8049999997</v>
      </c>
      <c r="E1174" s="91">
        <v>1469750.0049999999</v>
      </c>
      <c r="F1174" s="91">
        <v>0</v>
      </c>
      <c r="G1174" s="180">
        <f>SUM(B1174:F1174)</f>
        <v>7176081.1789999995</v>
      </c>
      <c r="H1174" s="91"/>
      <c r="I1174" s="91">
        <v>0</v>
      </c>
      <c r="J1174" s="91">
        <v>0</v>
      </c>
      <c r="K1174" s="253">
        <v>1198115</v>
      </c>
      <c r="L1174" s="253">
        <v>1283057</v>
      </c>
      <c r="M1174" s="91">
        <v>0</v>
      </c>
      <c r="N1174" s="91">
        <v>0</v>
      </c>
      <c r="O1174" s="91">
        <v>13705</v>
      </c>
      <c r="P1174" s="253">
        <v>3106500</v>
      </c>
      <c r="Q1174" s="91">
        <v>0</v>
      </c>
      <c r="R1174" s="180">
        <f>SUM(I1174:Q1174)</f>
        <v>5601377</v>
      </c>
      <c r="S1174" s="180">
        <v>3046505</v>
      </c>
      <c r="T1174" s="91">
        <v>3068014</v>
      </c>
      <c r="U1174" s="86">
        <f>S1174-2532000</f>
        <v>514505</v>
      </c>
      <c r="V1174" s="186">
        <v>0</v>
      </c>
      <c r="W1174" s="186">
        <f>R1174+G1174+S1174+T1174</f>
        <v>18891977.178999998</v>
      </c>
      <c r="X1174" s="46"/>
      <c r="Z1174" s="219">
        <f>W1174-U1174-18377472</f>
        <v>0.17899999767541885</v>
      </c>
    </row>
    <row r="1175" spans="1:26" x14ac:dyDescent="0.2">
      <c r="A1175" s="191" t="s">
        <v>42</v>
      </c>
      <c r="B1175" s="91">
        <f t="shared" ref="B1175:G1175" si="543">B1159+B1174-B1125</f>
        <v>3681600</v>
      </c>
      <c r="C1175" s="91">
        <f t="shared" si="543"/>
        <v>23125209.368999992</v>
      </c>
      <c r="D1175" s="91">
        <f t="shared" si="543"/>
        <v>54334719.804999985</v>
      </c>
      <c r="E1175" s="91">
        <f t="shared" si="543"/>
        <v>43062913.005000055</v>
      </c>
      <c r="F1175" s="91">
        <f t="shared" si="543"/>
        <v>7.4505805969238281E-9</v>
      </c>
      <c r="G1175" s="180">
        <f t="shared" si="543"/>
        <v>124204442.17900009</v>
      </c>
      <c r="H1175" s="91"/>
      <c r="I1175" s="91">
        <f t="shared" ref="I1175:W1175" si="544">I1159+I1174-I1125</f>
        <v>28193700</v>
      </c>
      <c r="J1175" s="91">
        <f t="shared" si="544"/>
        <v>6909604</v>
      </c>
      <c r="K1175" s="91">
        <f t="shared" si="544"/>
        <v>18349385</v>
      </c>
      <c r="L1175" s="91">
        <f t="shared" si="544"/>
        <v>17701733</v>
      </c>
      <c r="M1175" s="91">
        <f t="shared" si="544"/>
        <v>3470399</v>
      </c>
      <c r="N1175" s="91">
        <f t="shared" si="544"/>
        <v>3746401</v>
      </c>
      <c r="O1175" s="91">
        <f t="shared" si="544"/>
        <v>3440768</v>
      </c>
      <c r="P1175" s="91">
        <f t="shared" si="544"/>
        <v>26448260</v>
      </c>
      <c r="Q1175" s="91">
        <f t="shared" si="544"/>
        <v>9634895</v>
      </c>
      <c r="R1175" s="180">
        <f t="shared" si="544"/>
        <v>117895145</v>
      </c>
      <c r="S1175" s="180">
        <f t="shared" si="544"/>
        <v>38508970.971999966</v>
      </c>
      <c r="T1175" s="215">
        <f t="shared" si="544"/>
        <v>64105316</v>
      </c>
      <c r="U1175" s="86">
        <f t="shared" si="544"/>
        <v>2900970.9720000005</v>
      </c>
      <c r="V1175" s="86">
        <f t="shared" si="544"/>
        <v>0</v>
      </c>
      <c r="W1175" s="86">
        <f t="shared" si="544"/>
        <v>344713874.15100026</v>
      </c>
      <c r="X1175" s="46">
        <f>X1159+W1174</f>
        <v>10805788126.804001</v>
      </c>
    </row>
    <row r="1176" spans="1:26" x14ac:dyDescent="0.2">
      <c r="A1176" s="191"/>
      <c r="B1176" s="52"/>
      <c r="C1176" s="52"/>
      <c r="D1176" s="52"/>
      <c r="E1176" s="52"/>
      <c r="F1176" s="52"/>
      <c r="G1176" s="180"/>
      <c r="H1176" s="91"/>
      <c r="I1176" s="52"/>
      <c r="J1176" s="52"/>
      <c r="K1176" s="52"/>
      <c r="L1176" s="52"/>
      <c r="M1176" s="52"/>
      <c r="N1176" s="52"/>
      <c r="O1176" s="52"/>
      <c r="P1176" s="52"/>
      <c r="Q1176" s="52"/>
      <c r="R1176" s="180"/>
      <c r="S1176" s="178"/>
      <c r="T1176" s="218"/>
      <c r="U1176" s="217"/>
      <c r="V1176" s="185"/>
      <c r="W1176" s="186"/>
      <c r="X1176" s="46"/>
    </row>
    <row r="1177" spans="1:26" x14ac:dyDescent="0.2">
      <c r="A1177" s="191" t="s">
        <v>43</v>
      </c>
      <c r="B1177" s="91">
        <v>0</v>
      </c>
      <c r="C1177" s="91">
        <v>793629.13600000006</v>
      </c>
      <c r="D1177" s="91">
        <v>4987858.3559999997</v>
      </c>
      <c r="E1177" s="91">
        <v>1892741.0419999999</v>
      </c>
      <c r="F1177" s="91">
        <v>0</v>
      </c>
      <c r="G1177" s="180">
        <f>SUM(B1177:F1177)</f>
        <v>7674228.534</v>
      </c>
      <c r="H1177" s="91"/>
      <c r="I1177" s="91">
        <v>0</v>
      </c>
      <c r="J1177" s="253">
        <v>0</v>
      </c>
      <c r="K1177" s="253">
        <v>1318856</v>
      </c>
      <c r="L1177" s="253">
        <v>1341559</v>
      </c>
      <c r="M1177" s="253">
        <v>0</v>
      </c>
      <c r="N1177" s="253">
        <v>0</v>
      </c>
      <c r="O1177" s="253">
        <v>885876</v>
      </c>
      <c r="P1177" s="253">
        <v>3087946</v>
      </c>
      <c r="Q1177" s="91">
        <v>0</v>
      </c>
      <c r="R1177" s="180">
        <f>SUM(I1177:Q1177)</f>
        <v>6634237</v>
      </c>
      <c r="S1177" s="180">
        <v>2318355</v>
      </c>
      <c r="T1177" s="253">
        <v>4113508</v>
      </c>
      <c r="U1177" s="86">
        <f>S1177-1892500</f>
        <v>425855</v>
      </c>
      <c r="V1177" s="186">
        <v>0</v>
      </c>
      <c r="W1177" s="186">
        <f>R1177+G1177+S1177+T1177</f>
        <v>20740328.534000002</v>
      </c>
      <c r="X1177" s="46"/>
      <c r="Z1177" s="219">
        <f>W1177-U1177-20314474</f>
        <v>-0.46599999815225601</v>
      </c>
    </row>
    <row r="1178" spans="1:26" x14ac:dyDescent="0.2">
      <c r="A1178" s="191" t="s">
        <v>42</v>
      </c>
      <c r="B1178" s="91">
        <f t="shared" ref="B1178:G1178" si="545">B1175+B1177-B1128</f>
        <v>3571200</v>
      </c>
      <c r="C1178" s="91">
        <f t="shared" si="545"/>
        <v>22810589.504999992</v>
      </c>
      <c r="D1178" s="91">
        <f t="shared" si="545"/>
        <v>57825397.160999984</v>
      </c>
      <c r="E1178" s="91">
        <f t="shared" si="545"/>
        <v>44038105.047000058</v>
      </c>
      <c r="F1178" s="91">
        <f t="shared" si="545"/>
        <v>7.4505805969238281E-9</v>
      </c>
      <c r="G1178" s="180">
        <f t="shared" si="545"/>
        <v>128245291.71300009</v>
      </c>
      <c r="H1178" s="91"/>
      <c r="I1178" s="91">
        <f t="shared" ref="I1178:W1178" si="546">I1175+I1177-I1128</f>
        <v>27606709</v>
      </c>
      <c r="J1178" s="91">
        <f t="shared" si="546"/>
        <v>6909604</v>
      </c>
      <c r="K1178" s="91">
        <f t="shared" si="546"/>
        <v>18792767</v>
      </c>
      <c r="L1178" s="91">
        <f t="shared" si="546"/>
        <v>18188398</v>
      </c>
      <c r="M1178" s="91">
        <f t="shared" si="546"/>
        <v>3470399</v>
      </c>
      <c r="N1178" s="91">
        <f t="shared" si="546"/>
        <v>3746401</v>
      </c>
      <c r="O1178" s="91">
        <f t="shared" si="546"/>
        <v>3389711</v>
      </c>
      <c r="P1178" s="91">
        <f t="shared" si="546"/>
        <v>26523352</v>
      </c>
      <c r="Q1178" s="91">
        <f t="shared" si="546"/>
        <v>9634895</v>
      </c>
      <c r="R1178" s="180">
        <f t="shared" si="546"/>
        <v>118262236</v>
      </c>
      <c r="S1178" s="180">
        <f t="shared" si="546"/>
        <v>33420825.971999966</v>
      </c>
      <c r="T1178" s="215">
        <f t="shared" si="546"/>
        <v>64013164</v>
      </c>
      <c r="U1178" s="86">
        <f t="shared" si="546"/>
        <v>3005825.9720000005</v>
      </c>
      <c r="V1178" s="86">
        <f t="shared" si="546"/>
        <v>0</v>
      </c>
      <c r="W1178" s="186">
        <f t="shared" si="546"/>
        <v>343941517.68500024</v>
      </c>
      <c r="X1178" s="46">
        <f>X1175+W1177</f>
        <v>10826528455.338001</v>
      </c>
    </row>
    <row r="1179" spans="1:26" x14ac:dyDescent="0.2">
      <c r="A1179" s="191"/>
      <c r="B1179" s="91"/>
      <c r="C1179" s="91"/>
      <c r="D1179" s="91"/>
      <c r="E1179" s="91"/>
      <c r="F1179" s="91"/>
      <c r="G1179" s="180"/>
      <c r="H1179" s="91"/>
      <c r="I1179" s="91"/>
      <c r="J1179" s="91"/>
      <c r="K1179" s="91"/>
      <c r="L1179" s="91"/>
      <c r="M1179" s="91"/>
      <c r="N1179" s="91"/>
      <c r="O1179" s="91"/>
      <c r="P1179" s="91"/>
      <c r="Q1179" s="91"/>
      <c r="R1179" s="180"/>
      <c r="S1179" s="178"/>
      <c r="T1179" s="218"/>
      <c r="U1179" s="217"/>
      <c r="V1179" s="185"/>
      <c r="W1179" s="186"/>
      <c r="X1179" s="46"/>
    </row>
    <row r="1180" spans="1:26" x14ac:dyDescent="0.2">
      <c r="A1180" s="191" t="s">
        <v>44</v>
      </c>
      <c r="B1180" s="91">
        <v>0</v>
      </c>
      <c r="C1180" s="91">
        <v>1685932</v>
      </c>
      <c r="D1180" s="91">
        <v>5162674</v>
      </c>
      <c r="E1180" s="91">
        <v>1521824</v>
      </c>
      <c r="F1180" s="91">
        <v>0</v>
      </c>
      <c r="G1180" s="180">
        <f>SUM(B1180:F1180)</f>
        <v>8370430</v>
      </c>
      <c r="H1180" s="91"/>
      <c r="I1180" s="91">
        <v>0</v>
      </c>
      <c r="J1180" s="253">
        <v>0</v>
      </c>
      <c r="K1180" s="253">
        <v>1171722</v>
      </c>
      <c r="L1180" s="253">
        <v>1038696</v>
      </c>
      <c r="M1180" s="253">
        <v>0</v>
      </c>
      <c r="N1180" s="253">
        <v>116681</v>
      </c>
      <c r="O1180" s="253">
        <v>1316632</v>
      </c>
      <c r="P1180" s="253">
        <v>3282272</v>
      </c>
      <c r="Q1180" s="91">
        <v>808243</v>
      </c>
      <c r="R1180" s="180">
        <f>SUM(I1180:Q1180)</f>
        <v>7734246</v>
      </c>
      <c r="S1180" s="254">
        <v>4367772</v>
      </c>
      <c r="T1180" s="253">
        <v>1400882</v>
      </c>
      <c r="U1180" s="251">
        <f>S1180-3892000</f>
        <v>475772</v>
      </c>
      <c r="V1180" s="186">
        <v>0</v>
      </c>
      <c r="W1180" s="186">
        <f>R1180+G1180+S1180+T1180</f>
        <v>21873330</v>
      </c>
      <c r="X1180" s="46"/>
      <c r="Z1180" s="219">
        <f>W1180-U1180-21397558</f>
        <v>0</v>
      </c>
    </row>
    <row r="1181" spans="1:26" x14ac:dyDescent="0.2">
      <c r="A1181" s="191" t="s">
        <v>42</v>
      </c>
      <c r="B1181" s="91">
        <f t="shared" ref="B1181:G1181" si="547">B1178+B1180-B1131</f>
        <v>3571200</v>
      </c>
      <c r="C1181" s="91">
        <f t="shared" si="547"/>
        <v>22443186.504999992</v>
      </c>
      <c r="D1181" s="91">
        <f t="shared" si="547"/>
        <v>58107880.160999984</v>
      </c>
      <c r="E1181" s="91">
        <f t="shared" si="547"/>
        <v>43644972.047000058</v>
      </c>
      <c r="F1181" s="91">
        <f t="shared" si="547"/>
        <v>7.4505805969238281E-9</v>
      </c>
      <c r="G1181" s="180">
        <f t="shared" si="547"/>
        <v>127767238.71300009</v>
      </c>
      <c r="H1181" s="91"/>
      <c r="I1181" s="91">
        <f t="shared" ref="I1181:W1181" si="548">I1178+I1180-I1131</f>
        <v>27169419</v>
      </c>
      <c r="J1181" s="91">
        <f t="shared" si="548"/>
        <v>6909604</v>
      </c>
      <c r="K1181" s="91">
        <f t="shared" si="548"/>
        <v>18166473</v>
      </c>
      <c r="L1181" s="91">
        <f t="shared" si="548"/>
        <v>17558013</v>
      </c>
      <c r="M1181" s="91">
        <f t="shared" si="548"/>
        <v>3470399</v>
      </c>
      <c r="N1181" s="91">
        <f t="shared" si="548"/>
        <v>3863082</v>
      </c>
      <c r="O1181" s="91">
        <f t="shared" si="548"/>
        <v>3142547</v>
      </c>
      <c r="P1181" s="91">
        <f t="shared" si="548"/>
        <v>27721919</v>
      </c>
      <c r="Q1181" s="91">
        <f t="shared" si="548"/>
        <v>9962237</v>
      </c>
      <c r="R1181" s="180">
        <f t="shared" si="548"/>
        <v>117963693</v>
      </c>
      <c r="S1181" s="180">
        <f t="shared" si="548"/>
        <v>32576275.971999966</v>
      </c>
      <c r="T1181" s="215">
        <f t="shared" si="548"/>
        <v>60524536</v>
      </c>
      <c r="U1181" s="86">
        <f t="shared" si="548"/>
        <v>3332775.9720000005</v>
      </c>
      <c r="V1181" s="86">
        <f t="shared" si="548"/>
        <v>0</v>
      </c>
      <c r="W1181" s="186">
        <f t="shared" si="548"/>
        <v>338831743.68500024</v>
      </c>
      <c r="X1181" s="46">
        <f>X1178+W1180</f>
        <v>10848401785.338001</v>
      </c>
    </row>
    <row r="1182" spans="1:26" x14ac:dyDescent="0.2">
      <c r="A1182" s="191"/>
      <c r="B1182" s="52"/>
      <c r="C1182" s="52"/>
      <c r="D1182" s="52"/>
      <c r="E1182" s="52"/>
      <c r="F1182" s="52"/>
      <c r="G1182" s="180"/>
      <c r="H1182" s="91"/>
      <c r="I1182" s="52"/>
      <c r="J1182" s="52"/>
      <c r="K1182" s="52"/>
      <c r="L1182" s="52"/>
      <c r="M1182" s="52"/>
      <c r="N1182" s="52"/>
      <c r="O1182" s="52"/>
      <c r="P1182" s="52"/>
      <c r="Q1182" s="52"/>
      <c r="R1182" s="180"/>
      <c r="S1182" s="178"/>
      <c r="T1182" s="218"/>
      <c r="U1182" s="217"/>
      <c r="V1182" s="185"/>
      <c r="W1182" s="186"/>
      <c r="X1182" s="46"/>
    </row>
    <row r="1183" spans="1:26" x14ac:dyDescent="0.2">
      <c r="A1183" s="191" t="s">
        <v>45</v>
      </c>
      <c r="B1183" s="91">
        <v>0</v>
      </c>
      <c r="C1183" s="91">
        <v>2892830</v>
      </c>
      <c r="D1183" s="91">
        <v>5319014</v>
      </c>
      <c r="E1183" s="91">
        <v>0</v>
      </c>
      <c r="F1183" s="91">
        <v>0</v>
      </c>
      <c r="G1183" s="180">
        <f>SUM(B1183:F1183)</f>
        <v>8211844</v>
      </c>
      <c r="H1183" s="91"/>
      <c r="I1183" s="91">
        <v>0</v>
      </c>
      <c r="J1183" s="91">
        <v>0</v>
      </c>
      <c r="K1183" s="253">
        <v>1939635</v>
      </c>
      <c r="L1183" s="253">
        <v>1800113</v>
      </c>
      <c r="M1183" s="91">
        <v>0</v>
      </c>
      <c r="N1183" s="91">
        <v>286373</v>
      </c>
      <c r="O1183" s="91">
        <v>1247273</v>
      </c>
      <c r="P1183" s="253">
        <v>2381043</v>
      </c>
      <c r="Q1183" s="91">
        <v>2334880</v>
      </c>
      <c r="R1183" s="180">
        <f>SUM(I1183:Q1183)</f>
        <v>9989317</v>
      </c>
      <c r="S1183" s="180">
        <v>6145706</v>
      </c>
      <c r="T1183" s="91">
        <v>2032102</v>
      </c>
      <c r="U1183" s="86">
        <f>S1183-5627000</f>
        <v>518706</v>
      </c>
      <c r="V1183" s="186">
        <v>0</v>
      </c>
      <c r="W1183" s="186">
        <f>R1183+G1183+S1183+T1183</f>
        <v>26378969</v>
      </c>
      <c r="X1183" s="46"/>
      <c r="Z1183" s="219">
        <f>W1183-U1183-25860263</f>
        <v>0</v>
      </c>
    </row>
    <row r="1184" spans="1:26" x14ac:dyDescent="0.2">
      <c r="A1184" s="191" t="s">
        <v>42</v>
      </c>
      <c r="B1184" s="91">
        <f t="shared" ref="B1184:G1184" si="549">B1181+B1183-B1134</f>
        <v>3350400</v>
      </c>
      <c r="C1184" s="91">
        <f t="shared" si="549"/>
        <v>23542231.504999992</v>
      </c>
      <c r="D1184" s="91">
        <f t="shared" si="549"/>
        <v>58036981.160999984</v>
      </c>
      <c r="E1184" s="91">
        <f t="shared" si="549"/>
        <v>39790795.047000058</v>
      </c>
      <c r="F1184" s="91">
        <f t="shared" si="549"/>
        <v>7.4505805969238281E-9</v>
      </c>
      <c r="G1184" s="180">
        <f t="shared" si="549"/>
        <v>124720407.71300009</v>
      </c>
      <c r="H1184" s="91"/>
      <c r="I1184" s="91">
        <f t="shared" ref="I1184:W1184" si="550">I1181+I1183-I1134</f>
        <v>26780354</v>
      </c>
      <c r="J1184" s="91">
        <f t="shared" si="550"/>
        <v>6909604</v>
      </c>
      <c r="K1184" s="91">
        <f t="shared" si="550"/>
        <v>18508439</v>
      </c>
      <c r="L1184" s="91">
        <f t="shared" si="550"/>
        <v>17819749</v>
      </c>
      <c r="M1184" s="91">
        <f t="shared" si="550"/>
        <v>3190703</v>
      </c>
      <c r="N1184" s="91">
        <f t="shared" si="550"/>
        <v>4149455</v>
      </c>
      <c r="O1184" s="91">
        <f t="shared" si="550"/>
        <v>3468855</v>
      </c>
      <c r="P1184" s="91">
        <f t="shared" si="550"/>
        <v>26858189</v>
      </c>
      <c r="Q1184" s="91">
        <f t="shared" si="550"/>
        <v>12297117</v>
      </c>
      <c r="R1184" s="180">
        <f t="shared" si="550"/>
        <v>119982465</v>
      </c>
      <c r="S1184" s="180">
        <f t="shared" si="550"/>
        <v>36695307.971999966</v>
      </c>
      <c r="T1184" s="215">
        <f t="shared" si="550"/>
        <v>59713142</v>
      </c>
      <c r="U1184" s="86">
        <f t="shared" si="550"/>
        <v>3836807.9720000005</v>
      </c>
      <c r="V1184" s="86">
        <f t="shared" si="550"/>
        <v>0</v>
      </c>
      <c r="W1184" s="186">
        <f t="shared" si="550"/>
        <v>341111322.68500024</v>
      </c>
      <c r="X1184" s="46">
        <f>X1181+W1183</f>
        <v>10874780754.338001</v>
      </c>
    </row>
    <row r="1185" spans="1:27" x14ac:dyDescent="0.2">
      <c r="A1185" s="191"/>
      <c r="B1185" s="52"/>
      <c r="C1185" s="52"/>
      <c r="D1185" s="52"/>
      <c r="E1185" s="52"/>
      <c r="F1185" s="52"/>
      <c r="G1185" s="180"/>
      <c r="H1185" s="91"/>
      <c r="I1185" s="52"/>
      <c r="J1185" s="52"/>
      <c r="K1185" s="52"/>
      <c r="L1185" s="52"/>
      <c r="M1185" s="52"/>
      <c r="N1185" s="52"/>
      <c r="O1185" s="52"/>
      <c r="P1185" s="52"/>
      <c r="Q1185" s="52"/>
      <c r="R1185" s="180"/>
      <c r="S1185" s="180"/>
      <c r="T1185" s="44"/>
      <c r="U1185" s="86"/>
      <c r="V1185" s="186"/>
      <c r="W1185" s="186"/>
      <c r="X1185" s="46"/>
    </row>
    <row r="1186" spans="1:27" x14ac:dyDescent="0.2">
      <c r="A1186" s="191" t="s">
        <v>46</v>
      </c>
      <c r="B1186" s="91">
        <v>0</v>
      </c>
      <c r="C1186" s="91">
        <v>2857807.4</v>
      </c>
      <c r="D1186" s="91">
        <v>5221192.3320000004</v>
      </c>
      <c r="E1186" s="91">
        <v>104076.74</v>
      </c>
      <c r="F1186" s="91">
        <v>0</v>
      </c>
      <c r="G1186" s="180">
        <f>SUM(B1186:F1186)</f>
        <v>8183076.472000001</v>
      </c>
      <c r="H1186" s="91"/>
      <c r="I1186" s="91">
        <v>0</v>
      </c>
      <c r="J1186" s="91">
        <v>0</v>
      </c>
      <c r="K1186" s="253">
        <v>1082182</v>
      </c>
      <c r="L1186" s="253">
        <v>1186826</v>
      </c>
      <c r="M1186" s="91">
        <v>0</v>
      </c>
      <c r="N1186" s="91">
        <v>0</v>
      </c>
      <c r="O1186" s="91">
        <v>417918</v>
      </c>
      <c r="P1186" s="253">
        <v>1275877</v>
      </c>
      <c r="Q1186" s="91">
        <v>0</v>
      </c>
      <c r="R1186" s="180">
        <f>SUM(I1186:Q1186)</f>
        <v>3962803</v>
      </c>
      <c r="S1186" s="180">
        <v>2916978</v>
      </c>
      <c r="T1186" s="91">
        <v>1026144</v>
      </c>
      <c r="U1186" s="86">
        <f>S1186-2569000</f>
        <v>347978</v>
      </c>
      <c r="V1186" s="186">
        <v>0</v>
      </c>
      <c r="W1186" s="186">
        <f>R1186+G1186+S1186+T1186</f>
        <v>16089001.472000001</v>
      </c>
      <c r="X1186" s="46"/>
      <c r="Z1186" s="219">
        <f>W1186-U1186-15741023</f>
        <v>0.4720000009983778</v>
      </c>
      <c r="AA1186" t="s">
        <v>244</v>
      </c>
    </row>
    <row r="1187" spans="1:27" x14ac:dyDescent="0.2">
      <c r="A1187" s="191" t="s">
        <v>42</v>
      </c>
      <c r="B1187" s="91">
        <f t="shared" ref="B1187:G1187" si="551">B1184+B1186-B1137</f>
        <v>2856000</v>
      </c>
      <c r="C1187" s="91">
        <f t="shared" si="551"/>
        <v>24974483.90499999</v>
      </c>
      <c r="D1187" s="91">
        <f t="shared" si="551"/>
        <v>57519224.492999986</v>
      </c>
      <c r="E1187" s="91">
        <f t="shared" si="551"/>
        <v>33094615.78700006</v>
      </c>
      <c r="F1187" s="91">
        <f t="shared" si="551"/>
        <v>7.4505805969238281E-9</v>
      </c>
      <c r="G1187" s="180">
        <f t="shared" si="551"/>
        <v>118444324.18500009</v>
      </c>
      <c r="H1187" s="91"/>
      <c r="I1187" s="91">
        <f t="shared" ref="I1187:W1187" si="552">I1184+I1186-I1137</f>
        <v>23007361</v>
      </c>
      <c r="J1187" s="91">
        <f t="shared" si="552"/>
        <v>6909604</v>
      </c>
      <c r="K1187" s="91">
        <f t="shared" si="552"/>
        <v>18197857</v>
      </c>
      <c r="L1187" s="91">
        <f t="shared" si="552"/>
        <v>17744954</v>
      </c>
      <c r="M1187" s="91">
        <f t="shared" si="552"/>
        <v>1270191</v>
      </c>
      <c r="N1187" s="91">
        <f t="shared" si="552"/>
        <v>4149455</v>
      </c>
      <c r="O1187" s="91">
        <f t="shared" si="552"/>
        <v>3886773</v>
      </c>
      <c r="P1187" s="91">
        <f t="shared" si="552"/>
        <v>26095507</v>
      </c>
      <c r="Q1187" s="91">
        <f t="shared" si="552"/>
        <v>12090676</v>
      </c>
      <c r="R1187" s="180">
        <f t="shared" si="552"/>
        <v>113352378</v>
      </c>
      <c r="S1187" s="180">
        <f t="shared" si="552"/>
        <v>39612285.971999966</v>
      </c>
      <c r="T1187" s="215">
        <f t="shared" si="552"/>
        <v>59059816</v>
      </c>
      <c r="U1187" s="86">
        <f t="shared" si="552"/>
        <v>4184785.9720000005</v>
      </c>
      <c r="V1187" s="86">
        <f t="shared" si="552"/>
        <v>0</v>
      </c>
      <c r="W1187" s="186">
        <f t="shared" si="552"/>
        <v>330468804.15700024</v>
      </c>
      <c r="X1187" s="46">
        <f>X1184+W1186</f>
        <v>10890869755.810001</v>
      </c>
    </row>
    <row r="1188" spans="1:27" x14ac:dyDescent="0.2">
      <c r="A1188" s="191"/>
      <c r="B1188" s="52"/>
      <c r="C1188" s="52"/>
      <c r="D1188" s="52"/>
      <c r="E1188" s="52"/>
      <c r="F1188" s="52"/>
      <c r="G1188" s="180"/>
      <c r="H1188" s="91"/>
      <c r="I1188" s="52"/>
      <c r="J1188" s="52"/>
      <c r="K1188" s="52"/>
      <c r="L1188" s="52"/>
      <c r="M1188" s="52"/>
      <c r="N1188" s="52"/>
      <c r="O1188" s="52"/>
      <c r="P1188" s="52"/>
      <c r="Q1188" s="52"/>
      <c r="R1188" s="180"/>
      <c r="S1188" s="180"/>
      <c r="T1188" s="44"/>
      <c r="U1188" s="86"/>
      <c r="V1188" s="44"/>
      <c r="W1188" s="86"/>
      <c r="X1188" s="46"/>
    </row>
    <row r="1189" spans="1:27" x14ac:dyDescent="0.2">
      <c r="A1189" s="191" t="s">
        <v>47</v>
      </c>
      <c r="B1189" s="91">
        <v>0</v>
      </c>
      <c r="C1189" s="91">
        <v>2973946.8130000001</v>
      </c>
      <c r="D1189" s="91">
        <v>4143740.6120000002</v>
      </c>
      <c r="E1189" s="91">
        <v>1186516.5209999999</v>
      </c>
      <c r="F1189" s="91">
        <v>0</v>
      </c>
      <c r="G1189" s="180">
        <f>SUM(B1189:F1189)</f>
        <v>8304203.9460000005</v>
      </c>
      <c r="H1189" s="91"/>
      <c r="I1189" s="91">
        <v>0</v>
      </c>
      <c r="J1189" s="91">
        <v>0</v>
      </c>
      <c r="K1189" s="253">
        <v>1480382</v>
      </c>
      <c r="L1189" s="253">
        <v>1438750</v>
      </c>
      <c r="M1189" s="91">
        <v>0</v>
      </c>
      <c r="N1189" s="91">
        <v>0</v>
      </c>
      <c r="O1189" s="91">
        <v>1304157</v>
      </c>
      <c r="P1189" s="253">
        <v>1941906</v>
      </c>
      <c r="Q1189" s="91">
        <v>0</v>
      </c>
      <c r="R1189" s="180">
        <f>SUM(I1189:Q1189)</f>
        <v>6165195</v>
      </c>
      <c r="S1189" s="180">
        <v>1938151</v>
      </c>
      <c r="T1189" s="91">
        <v>1649938</v>
      </c>
      <c r="U1189" s="86">
        <f>S1189-1560000</f>
        <v>378151</v>
      </c>
      <c r="V1189" s="186">
        <v>0</v>
      </c>
      <c r="W1189" s="186">
        <f>R1189+G1189+S1189+T1189</f>
        <v>18057487.946000002</v>
      </c>
      <c r="X1189" s="46"/>
      <c r="Z1189" s="219">
        <f>W1189-U1189-17679337</f>
        <v>-5.3999997675418854E-2</v>
      </c>
      <c r="AA1189" t="s">
        <v>244</v>
      </c>
    </row>
    <row r="1190" spans="1:27" x14ac:dyDescent="0.2">
      <c r="A1190" s="191" t="s">
        <v>42</v>
      </c>
      <c r="B1190" s="91">
        <f t="shared" ref="B1190:G1190" si="553">B1187+B1189-B1140</f>
        <v>2606400</v>
      </c>
      <c r="C1190" s="91">
        <f t="shared" si="553"/>
        <v>25649768.717999991</v>
      </c>
      <c r="D1190" s="91">
        <f t="shared" si="553"/>
        <v>56141087.104999989</v>
      </c>
      <c r="E1190" s="91">
        <f t="shared" si="553"/>
        <v>27886726.308000058</v>
      </c>
      <c r="F1190" s="91">
        <f t="shared" si="553"/>
        <v>7.4505805969238281E-9</v>
      </c>
      <c r="G1190" s="180">
        <f t="shared" si="553"/>
        <v>112283982.13100009</v>
      </c>
      <c r="H1190" s="91"/>
      <c r="I1190" s="91">
        <f t="shared" ref="I1190:W1190" si="554">I1187+I1189-I1140</f>
        <v>18962400</v>
      </c>
      <c r="J1190" s="91">
        <f t="shared" si="554"/>
        <v>6261449</v>
      </c>
      <c r="K1190" s="91">
        <f t="shared" si="554"/>
        <v>17871814</v>
      </c>
      <c r="L1190" s="91">
        <f t="shared" si="554"/>
        <v>17409069</v>
      </c>
      <c r="M1190" s="91">
        <f t="shared" si="554"/>
        <v>1270191</v>
      </c>
      <c r="N1190" s="91">
        <f t="shared" si="554"/>
        <v>3548191</v>
      </c>
      <c r="O1190" s="91">
        <f t="shared" si="554"/>
        <v>5190930</v>
      </c>
      <c r="P1190" s="91">
        <f t="shared" si="554"/>
        <v>26472580</v>
      </c>
      <c r="Q1190" s="91">
        <f t="shared" si="554"/>
        <v>11576057</v>
      </c>
      <c r="R1190" s="180">
        <f t="shared" si="554"/>
        <v>108562681</v>
      </c>
      <c r="S1190" s="180">
        <f t="shared" si="554"/>
        <v>41550436.971999966</v>
      </c>
      <c r="T1190" s="215">
        <f t="shared" si="554"/>
        <v>55026724</v>
      </c>
      <c r="U1190" s="86">
        <f t="shared" si="554"/>
        <v>4562936.972000001</v>
      </c>
      <c r="V1190" s="289">
        <f t="shared" si="554"/>
        <v>0</v>
      </c>
      <c r="W1190" s="86">
        <f t="shared" si="554"/>
        <v>317423824.10300022</v>
      </c>
      <c r="X1190" s="46">
        <f>X1187+W1189</f>
        <v>10908927243.756001</v>
      </c>
    </row>
    <row r="1191" spans="1:27" x14ac:dyDescent="0.2">
      <c r="A1191" s="191"/>
      <c r="B1191" s="52"/>
      <c r="C1191" s="52"/>
      <c r="D1191" s="52"/>
      <c r="E1191" s="52"/>
      <c r="F1191" s="52"/>
      <c r="G1191" s="180"/>
      <c r="H1191" s="91"/>
      <c r="I1191" s="52"/>
      <c r="J1191" s="52"/>
      <c r="K1191" s="52"/>
      <c r="L1191" s="52"/>
      <c r="M1191" s="52"/>
      <c r="N1191" s="52"/>
      <c r="O1191" s="52"/>
      <c r="P1191" s="52"/>
      <c r="Q1191" s="52"/>
      <c r="R1191" s="180"/>
      <c r="S1191" s="180" t="s">
        <v>105</v>
      </c>
      <c r="T1191" s="44"/>
      <c r="U1191" s="86"/>
      <c r="V1191" s="44"/>
      <c r="W1191" s="86"/>
      <c r="X1191" s="46"/>
    </row>
    <row r="1192" spans="1:27" x14ac:dyDescent="0.2">
      <c r="A1192" s="191" t="s">
        <v>48</v>
      </c>
      <c r="B1192" s="91">
        <v>0</v>
      </c>
      <c r="C1192" s="91">
        <v>2982034</v>
      </c>
      <c r="D1192" s="91">
        <v>5077322</v>
      </c>
      <c r="E1192" s="91">
        <v>0</v>
      </c>
      <c r="F1192" s="91">
        <v>0</v>
      </c>
      <c r="G1192" s="180">
        <f>SUM(B1192:F1192)</f>
        <v>8059356</v>
      </c>
      <c r="H1192" s="91"/>
      <c r="I1192" s="91">
        <v>0</v>
      </c>
      <c r="J1192" s="91">
        <v>0</v>
      </c>
      <c r="K1192" s="253">
        <v>1454110</v>
      </c>
      <c r="L1192" s="253">
        <v>1437054</v>
      </c>
      <c r="M1192" s="91">
        <v>0</v>
      </c>
      <c r="N1192" s="91">
        <v>0</v>
      </c>
      <c r="O1192" s="91">
        <v>1471907</v>
      </c>
      <c r="P1192" s="287">
        <v>2509409</v>
      </c>
      <c r="Q1192" s="91">
        <v>0</v>
      </c>
      <c r="R1192" s="180">
        <f>SUM(I1192:Q1192)</f>
        <v>6872480</v>
      </c>
      <c r="S1192" s="180">
        <v>2284398</v>
      </c>
      <c r="T1192" s="91">
        <v>1973548</v>
      </c>
      <c r="U1192" s="86">
        <f>S1192-2021400</f>
        <v>262998</v>
      </c>
      <c r="V1192" s="186">
        <v>0</v>
      </c>
      <c r="W1192" s="186">
        <f>R1192+G1192+S1192+T1192</f>
        <v>19189782</v>
      </c>
      <c r="X1192" s="46"/>
      <c r="Z1192" s="219">
        <f>W1192-U1192-18926785</f>
        <v>-1</v>
      </c>
      <c r="AA1192" t="s">
        <v>244</v>
      </c>
    </row>
    <row r="1193" spans="1:27" x14ac:dyDescent="0.2">
      <c r="A1193" s="191" t="s">
        <v>42</v>
      </c>
      <c r="B1193" s="91">
        <f t="shared" ref="B1193:G1193" si="555">B1190+B1192-B1143</f>
        <v>2088000</v>
      </c>
      <c r="C1193" s="91">
        <f t="shared" si="555"/>
        <v>25259454.717999991</v>
      </c>
      <c r="D1193" s="91">
        <f t="shared" si="555"/>
        <v>55895948.104999989</v>
      </c>
      <c r="E1193" s="91">
        <f t="shared" si="555"/>
        <v>26063867.308000058</v>
      </c>
      <c r="F1193" s="91">
        <f t="shared" si="555"/>
        <v>7.4505805969238281E-9</v>
      </c>
      <c r="G1193" s="180">
        <f t="shared" si="555"/>
        <v>109307270.13100009</v>
      </c>
      <c r="H1193" s="91"/>
      <c r="I1193" s="91">
        <f t="shared" ref="I1193:W1193" si="556">I1190+I1192-I1143</f>
        <v>14604108</v>
      </c>
      <c r="J1193" s="91">
        <f t="shared" si="556"/>
        <v>3472524</v>
      </c>
      <c r="K1193" s="91">
        <f t="shared" si="556"/>
        <v>17491655</v>
      </c>
      <c r="L1193" s="91">
        <f t="shared" si="556"/>
        <v>17056197</v>
      </c>
      <c r="M1193" s="91">
        <f t="shared" si="556"/>
        <v>1270191</v>
      </c>
      <c r="N1193" s="91">
        <f t="shared" si="556"/>
        <v>2869182</v>
      </c>
      <c r="O1193" s="91">
        <f t="shared" si="556"/>
        <v>6661530</v>
      </c>
      <c r="P1193" s="91">
        <f t="shared" si="556"/>
        <v>27855296</v>
      </c>
      <c r="Q1193" s="91">
        <f t="shared" si="556"/>
        <v>9455615</v>
      </c>
      <c r="R1193" s="180">
        <f t="shared" si="556"/>
        <v>100736298</v>
      </c>
      <c r="S1193" s="180">
        <f t="shared" si="556"/>
        <v>42919116.971999966</v>
      </c>
      <c r="T1193" s="215">
        <f t="shared" si="556"/>
        <v>51015030</v>
      </c>
      <c r="U1193" s="86">
        <f t="shared" si="556"/>
        <v>4852216.972000001</v>
      </c>
      <c r="V1193" s="289">
        <f t="shared" si="556"/>
        <v>0</v>
      </c>
      <c r="W1193" s="86">
        <f t="shared" si="556"/>
        <v>303977715.10300022</v>
      </c>
      <c r="X1193" s="46">
        <f>X1190+W1192</f>
        <v>10928117025.756001</v>
      </c>
    </row>
    <row r="1194" spans="1:27" x14ac:dyDescent="0.2">
      <c r="A1194" s="191"/>
      <c r="B1194" s="52"/>
      <c r="C1194" s="52"/>
      <c r="D1194" s="52"/>
      <c r="E1194" s="52"/>
      <c r="F1194" s="52"/>
      <c r="G1194" s="180"/>
      <c r="H1194" s="91"/>
      <c r="I1194" s="52"/>
      <c r="J1194" s="52"/>
      <c r="K1194" s="52"/>
      <c r="L1194" s="52"/>
      <c r="M1194" s="52"/>
      <c r="N1194" s="52"/>
      <c r="O1194" s="52"/>
      <c r="P1194" s="52"/>
      <c r="Q1194" s="52"/>
      <c r="R1194" s="180"/>
      <c r="S1194" s="180"/>
      <c r="T1194" s="44"/>
      <c r="U1194" s="86"/>
      <c r="V1194" s="44"/>
      <c r="W1194" s="86"/>
      <c r="X1194" s="46"/>
    </row>
    <row r="1195" spans="1:27" x14ac:dyDescent="0.2">
      <c r="A1195" s="191" t="s">
        <v>49</v>
      </c>
      <c r="B1195" s="91">
        <v>0</v>
      </c>
      <c r="C1195" s="91">
        <v>2862969</v>
      </c>
      <c r="D1195" s="91">
        <v>5535482</v>
      </c>
      <c r="E1195" s="91">
        <v>0</v>
      </c>
      <c r="F1195" s="91">
        <v>0</v>
      </c>
      <c r="G1195" s="180">
        <f>SUM(B1195:F1195)</f>
        <v>8398451</v>
      </c>
      <c r="H1195" s="91"/>
      <c r="I1195" s="91">
        <v>0</v>
      </c>
      <c r="J1195" s="91">
        <v>0</v>
      </c>
      <c r="K1195" s="253">
        <v>1389067</v>
      </c>
      <c r="L1195" s="253">
        <v>1382182</v>
      </c>
      <c r="M1195" s="91">
        <v>0</v>
      </c>
      <c r="N1195" s="91">
        <v>0</v>
      </c>
      <c r="O1195" s="91">
        <v>1626381</v>
      </c>
      <c r="P1195" s="253">
        <v>1710133</v>
      </c>
      <c r="Q1195" s="91">
        <v>0</v>
      </c>
      <c r="R1195" s="180">
        <f>SUM(I1195:Q1195)</f>
        <v>6107763</v>
      </c>
      <c r="S1195" s="180">
        <v>1998630</v>
      </c>
      <c r="T1195" s="91">
        <v>1473624</v>
      </c>
      <c r="U1195" s="86">
        <f>S1195-1860000</f>
        <v>138630</v>
      </c>
      <c r="V1195" s="186">
        <v>0</v>
      </c>
      <c r="W1195" s="186">
        <f>R1195+G1195+S1195+T1195</f>
        <v>17978468</v>
      </c>
      <c r="X1195" s="46"/>
      <c r="Z1195" s="219">
        <f>W1195-U1195-17839838</f>
        <v>0</v>
      </c>
      <c r="AA1195" t="s">
        <v>244</v>
      </c>
    </row>
    <row r="1196" spans="1:27" x14ac:dyDescent="0.2">
      <c r="A1196" s="191" t="s">
        <v>42</v>
      </c>
      <c r="B1196" s="91">
        <f t="shared" ref="B1196:G1196" si="557">B1193+B1195-B1146</f>
        <v>1560000</v>
      </c>
      <c r="C1196" s="91">
        <f t="shared" si="557"/>
        <v>24920138.717999991</v>
      </c>
      <c r="D1196" s="91">
        <f t="shared" si="557"/>
        <v>56406656.104999989</v>
      </c>
      <c r="E1196" s="91">
        <f t="shared" si="557"/>
        <v>21977155.308000058</v>
      </c>
      <c r="F1196" s="91">
        <f t="shared" si="557"/>
        <v>7.4505805969238281E-9</v>
      </c>
      <c r="G1196" s="180">
        <f t="shared" si="557"/>
        <v>104863950.13100009</v>
      </c>
      <c r="H1196" s="91"/>
      <c r="I1196" s="91">
        <f t="shared" ref="I1196:W1196" si="558">I1193+I1195-I1146</f>
        <v>10165784</v>
      </c>
      <c r="J1196" s="91">
        <f t="shared" si="558"/>
        <v>155906</v>
      </c>
      <c r="K1196" s="91">
        <f t="shared" si="558"/>
        <v>16915162</v>
      </c>
      <c r="L1196" s="91">
        <f t="shared" si="558"/>
        <v>16556923</v>
      </c>
      <c r="M1196" s="91">
        <f t="shared" si="558"/>
        <v>1270191</v>
      </c>
      <c r="N1196" s="91">
        <f t="shared" si="558"/>
        <v>2227877</v>
      </c>
      <c r="O1196" s="91">
        <f t="shared" si="558"/>
        <v>8287911</v>
      </c>
      <c r="P1196" s="91">
        <f t="shared" si="558"/>
        <v>28158172</v>
      </c>
      <c r="Q1196" s="91">
        <f t="shared" si="558"/>
        <v>7740748</v>
      </c>
      <c r="R1196" s="180">
        <f t="shared" si="558"/>
        <v>91478674</v>
      </c>
      <c r="S1196" s="180">
        <f t="shared" si="558"/>
        <v>43332993.971999966</v>
      </c>
      <c r="T1196" s="215">
        <f t="shared" si="558"/>
        <v>43121548</v>
      </c>
      <c r="U1196" s="86">
        <f t="shared" si="558"/>
        <v>4825093.972000001</v>
      </c>
      <c r="V1196" s="289">
        <f t="shared" si="558"/>
        <v>0</v>
      </c>
      <c r="W1196" s="86">
        <f t="shared" si="558"/>
        <v>282797166.10300022</v>
      </c>
      <c r="X1196" s="46">
        <f>X1193+W1195</f>
        <v>10946095493.756001</v>
      </c>
    </row>
    <row r="1197" spans="1:27" x14ac:dyDescent="0.2">
      <c r="A1197" s="191"/>
      <c r="B1197" s="52"/>
      <c r="C1197" s="52"/>
      <c r="D1197" s="52"/>
      <c r="E1197" s="52"/>
      <c r="F1197" s="52"/>
      <c r="G1197" s="180"/>
      <c r="H1197" s="91"/>
      <c r="I1197" s="52"/>
      <c r="J1197" s="52"/>
      <c r="K1197" s="52"/>
      <c r="L1197" s="52"/>
      <c r="M1197" s="52"/>
      <c r="N1197" s="52"/>
      <c r="O1197" s="52"/>
      <c r="P1197" s="52"/>
      <c r="Q1197" s="52"/>
      <c r="R1197" s="180"/>
      <c r="S1197" s="180"/>
      <c r="T1197" s="44"/>
      <c r="U1197" s="86"/>
      <c r="V1197" s="44"/>
      <c r="W1197" s="86"/>
      <c r="X1197" s="46"/>
    </row>
    <row r="1198" spans="1:27" x14ac:dyDescent="0.2">
      <c r="A1198" s="191" t="s">
        <v>50</v>
      </c>
      <c r="B1198" s="91">
        <v>0</v>
      </c>
      <c r="C1198" s="91">
        <v>2620632</v>
      </c>
      <c r="D1198" s="91">
        <v>5400933</v>
      </c>
      <c r="E1198" s="91">
        <v>1249272</v>
      </c>
      <c r="F1198" s="91">
        <v>0</v>
      </c>
      <c r="G1198" s="180">
        <f>SUM(B1198:F1198)</f>
        <v>9270837</v>
      </c>
      <c r="H1198" s="91"/>
      <c r="I1198" s="91">
        <v>0</v>
      </c>
      <c r="J1198" s="287">
        <v>0</v>
      </c>
      <c r="K1198" s="287">
        <v>1422712</v>
      </c>
      <c r="L1198" s="287">
        <v>1404654</v>
      </c>
      <c r="M1198" s="287">
        <v>0</v>
      </c>
      <c r="N1198" s="287">
        <v>0</v>
      </c>
      <c r="O1198" s="287">
        <v>1577296</v>
      </c>
      <c r="P1198" s="287">
        <v>237717</v>
      </c>
      <c r="Q1198" s="287">
        <v>0</v>
      </c>
      <c r="R1198" s="288">
        <f>SUM(I1198:Q1198)</f>
        <v>4642379</v>
      </c>
      <c r="S1198" s="288">
        <v>1972655</v>
      </c>
      <c r="T1198" s="287">
        <v>3227324</v>
      </c>
      <c r="U1198" s="86">
        <f>S1198-1800000</f>
        <v>172655</v>
      </c>
      <c r="V1198" s="186">
        <v>0</v>
      </c>
      <c r="W1198" s="186">
        <f>R1198+G1198+S1198+T1198</f>
        <v>19113195</v>
      </c>
      <c r="X1198" s="46"/>
      <c r="Z1198" s="219">
        <f>W1198-U1198-18940540</f>
        <v>0</v>
      </c>
      <c r="AA1198" t="s">
        <v>244</v>
      </c>
    </row>
    <row r="1199" spans="1:27" x14ac:dyDescent="0.2">
      <c r="A1199" s="191" t="s">
        <v>42</v>
      </c>
      <c r="B1199" s="91">
        <f t="shared" ref="B1199:G1199" si="559">B1196+B1198-B1149</f>
        <v>1036800</v>
      </c>
      <c r="C1199" s="91">
        <f t="shared" si="559"/>
        <v>24671140.717999991</v>
      </c>
      <c r="D1199" s="91">
        <f t="shared" si="559"/>
        <v>56932608.104999989</v>
      </c>
      <c r="E1199" s="91">
        <f t="shared" si="559"/>
        <v>18687199.308000058</v>
      </c>
      <c r="F1199" s="91">
        <f t="shared" si="559"/>
        <v>7.4505805969238281E-9</v>
      </c>
      <c r="G1199" s="180">
        <f t="shared" si="559"/>
        <v>101327748.13100009</v>
      </c>
      <c r="H1199" s="91"/>
      <c r="I1199" s="91">
        <f t="shared" ref="I1199:W1199" si="560">I1196+I1198-I1149</f>
        <v>6751125</v>
      </c>
      <c r="J1199" s="91">
        <f t="shared" si="560"/>
        <v>0</v>
      </c>
      <c r="K1199" s="91">
        <f t="shared" si="560"/>
        <v>16475343</v>
      </c>
      <c r="L1199" s="91">
        <f t="shared" si="560"/>
        <v>16113996</v>
      </c>
      <c r="M1199" s="91">
        <f t="shared" si="560"/>
        <v>1270191</v>
      </c>
      <c r="N1199" s="91">
        <f t="shared" si="560"/>
        <v>1605891</v>
      </c>
      <c r="O1199" s="91">
        <f t="shared" si="560"/>
        <v>9861145</v>
      </c>
      <c r="P1199" s="91">
        <f t="shared" si="560"/>
        <v>27069046</v>
      </c>
      <c r="Q1199" s="91">
        <f t="shared" si="560"/>
        <v>6559535</v>
      </c>
      <c r="R1199" s="180">
        <f t="shared" si="560"/>
        <v>85706272</v>
      </c>
      <c r="S1199" s="180">
        <f t="shared" si="560"/>
        <v>43270200.971999966</v>
      </c>
      <c r="T1199" s="215">
        <f t="shared" si="560"/>
        <v>37431340</v>
      </c>
      <c r="U1199" s="86">
        <f t="shared" si="560"/>
        <v>4830300.972000001</v>
      </c>
      <c r="V1199" s="289">
        <f t="shared" si="560"/>
        <v>0</v>
      </c>
      <c r="W1199" s="86">
        <f t="shared" si="560"/>
        <v>267735561.10300022</v>
      </c>
      <c r="X1199" s="46">
        <f>X1196+W1198</f>
        <v>10965208688.756001</v>
      </c>
    </row>
    <row r="1200" spans="1:27" x14ac:dyDescent="0.2">
      <c r="A1200" s="191"/>
      <c r="B1200" s="52"/>
      <c r="C1200" s="52"/>
      <c r="D1200" s="52"/>
      <c r="E1200" s="52"/>
      <c r="F1200" s="52"/>
      <c r="G1200" s="180"/>
      <c r="H1200" s="91"/>
      <c r="I1200" s="52"/>
      <c r="J1200" s="52"/>
      <c r="K1200" s="52"/>
      <c r="L1200" s="52"/>
      <c r="M1200" s="52"/>
      <c r="N1200" s="52"/>
      <c r="O1200" s="52"/>
      <c r="P1200" s="52"/>
      <c r="Q1200" s="52"/>
      <c r="R1200" s="180"/>
      <c r="S1200" s="180"/>
      <c r="T1200" s="44"/>
      <c r="U1200" s="86"/>
      <c r="V1200" s="44"/>
      <c r="W1200" s="86"/>
      <c r="X1200" s="46"/>
    </row>
    <row r="1201" spans="1:27" x14ac:dyDescent="0.2">
      <c r="A1201" s="191" t="s">
        <v>51</v>
      </c>
      <c r="B1201" s="91">
        <v>0</v>
      </c>
      <c r="C1201" s="91">
        <v>2620236.4139999999</v>
      </c>
      <c r="D1201" s="91">
        <v>4791340.1399999997</v>
      </c>
      <c r="E1201" s="91">
        <v>6718084.6270000003</v>
      </c>
      <c r="F1201" s="91">
        <v>0</v>
      </c>
      <c r="G1201" s="180">
        <f>SUM(B1201:F1201)</f>
        <v>14129661.181</v>
      </c>
      <c r="H1201" s="91"/>
      <c r="I1201" s="91">
        <v>0</v>
      </c>
      <c r="J1201" s="91">
        <v>0</v>
      </c>
      <c r="K1201" s="253">
        <v>1541146</v>
      </c>
      <c r="L1201" s="253">
        <v>1531249</v>
      </c>
      <c r="M1201" s="91">
        <v>0</v>
      </c>
      <c r="N1201" s="91">
        <v>487593</v>
      </c>
      <c r="O1201" s="91">
        <v>1713398</v>
      </c>
      <c r="P1201" s="253">
        <v>1991933</v>
      </c>
      <c r="Q1201" s="91">
        <v>2266613</v>
      </c>
      <c r="R1201" s="180">
        <f>SUM(I1201:Q1201)</f>
        <v>9531932</v>
      </c>
      <c r="S1201" s="180">
        <v>608431</v>
      </c>
      <c r="T1201" s="91">
        <v>1335102</v>
      </c>
      <c r="U1201" s="86">
        <f>S1201-660000</f>
        <v>-51569</v>
      </c>
      <c r="V1201" s="186">
        <v>0</v>
      </c>
      <c r="W1201" s="186">
        <f>R1201+G1201+S1201+T1201</f>
        <v>25605126.181000002</v>
      </c>
      <c r="X1201" s="46"/>
      <c r="Z1201" s="219">
        <f>W1201-U1201-25656695</f>
        <v>0.1810000017285347</v>
      </c>
      <c r="AA1201" t="s">
        <v>244</v>
      </c>
    </row>
    <row r="1202" spans="1:27" x14ac:dyDescent="0.2">
      <c r="A1202" s="191" t="s">
        <v>42</v>
      </c>
      <c r="B1202" s="91">
        <f t="shared" ref="B1202:G1202" si="561">B1199+B1201-B1152</f>
        <v>537600</v>
      </c>
      <c r="C1202" s="91">
        <f t="shared" si="561"/>
        <v>25677594.131999992</v>
      </c>
      <c r="D1202" s="91">
        <f t="shared" si="561"/>
        <v>58086099.24499999</v>
      </c>
      <c r="E1202" s="91">
        <f t="shared" si="561"/>
        <v>19090703.935000058</v>
      </c>
      <c r="F1202" s="91">
        <f t="shared" si="561"/>
        <v>7.4505805969238281E-9</v>
      </c>
      <c r="G1202" s="180">
        <f t="shared" si="561"/>
        <v>103391997.31200008</v>
      </c>
      <c r="H1202" s="91"/>
      <c r="I1202" s="91">
        <f t="shared" ref="I1202:W1202" si="562">I1199+I1201-I1152</f>
        <v>3016479</v>
      </c>
      <c r="J1202" s="91">
        <f t="shared" si="562"/>
        <v>0</v>
      </c>
      <c r="K1202" s="91">
        <f t="shared" si="562"/>
        <v>16607978</v>
      </c>
      <c r="L1202" s="91">
        <f t="shared" si="562"/>
        <v>16275266</v>
      </c>
      <c r="M1202" s="91">
        <f t="shared" si="562"/>
        <v>0</v>
      </c>
      <c r="N1202" s="91">
        <f t="shared" si="562"/>
        <v>1522248</v>
      </c>
      <c r="O1202" s="91">
        <f t="shared" si="562"/>
        <v>11574543</v>
      </c>
      <c r="P1202" s="91">
        <f t="shared" si="562"/>
        <v>27463942</v>
      </c>
      <c r="Q1202" s="91">
        <f t="shared" si="562"/>
        <v>6656182</v>
      </c>
      <c r="R1202" s="180">
        <f t="shared" si="562"/>
        <v>83116638</v>
      </c>
      <c r="S1202" s="180">
        <f t="shared" si="562"/>
        <v>36428559.971999966</v>
      </c>
      <c r="T1202" s="215">
        <f t="shared" si="562"/>
        <v>33537346</v>
      </c>
      <c r="U1202" s="86">
        <f t="shared" si="562"/>
        <v>4489159.972000001</v>
      </c>
      <c r="V1202" s="289">
        <f t="shared" si="562"/>
        <v>0</v>
      </c>
      <c r="W1202" s="86">
        <f t="shared" si="562"/>
        <v>256474541.28400022</v>
      </c>
      <c r="X1202" s="46">
        <f>X1199+W1201</f>
        <v>10990813814.937</v>
      </c>
    </row>
    <row r="1203" spans="1:27" x14ac:dyDescent="0.2">
      <c r="A1203" s="191"/>
      <c r="B1203" s="52"/>
      <c r="C1203" s="52"/>
      <c r="D1203" s="52"/>
      <c r="E1203" s="52"/>
      <c r="F1203" s="52"/>
      <c r="G1203" s="180"/>
      <c r="H1203" s="91"/>
      <c r="I1203" s="52"/>
      <c r="J1203" s="52"/>
      <c r="K1203" s="52"/>
      <c r="L1203" s="52"/>
      <c r="M1203" s="52"/>
      <c r="N1203" s="52"/>
      <c r="O1203" s="52"/>
      <c r="P1203" s="52"/>
      <c r="Q1203" s="52"/>
      <c r="R1203" s="180"/>
      <c r="S1203" s="180"/>
      <c r="T1203" s="44"/>
      <c r="U1203" s="86"/>
      <c r="V1203" s="44"/>
      <c r="W1203" s="86"/>
      <c r="X1203" s="46"/>
    </row>
    <row r="1204" spans="1:27" x14ac:dyDescent="0.2">
      <c r="A1204" s="191" t="s">
        <v>52</v>
      </c>
      <c r="B1204" s="91">
        <v>0</v>
      </c>
      <c r="C1204" s="91">
        <v>2397367</v>
      </c>
      <c r="D1204" s="91">
        <v>3389872</v>
      </c>
      <c r="E1204" s="91">
        <v>5403395</v>
      </c>
      <c r="F1204" s="91">
        <v>0</v>
      </c>
      <c r="G1204" s="180">
        <f>SUM(B1204:F1204)</f>
        <v>11190634</v>
      </c>
      <c r="H1204" s="91"/>
      <c r="I1204" s="91">
        <v>0</v>
      </c>
      <c r="J1204" s="91">
        <v>0</v>
      </c>
      <c r="K1204" s="253">
        <v>1687989</v>
      </c>
      <c r="L1204" s="253">
        <v>1617639</v>
      </c>
      <c r="M1204" s="91">
        <v>903</v>
      </c>
      <c r="N1204" s="91">
        <v>383140</v>
      </c>
      <c r="O1204" s="91">
        <v>1647493</v>
      </c>
      <c r="P1204" s="253">
        <v>3360744</v>
      </c>
      <c r="Q1204" s="91">
        <v>2272722</v>
      </c>
      <c r="R1204" s="180">
        <f>SUM(I1204:Q1204)</f>
        <v>10970630</v>
      </c>
      <c r="S1204" s="180">
        <v>0</v>
      </c>
      <c r="T1204" s="91">
        <v>813947</v>
      </c>
      <c r="U1204" s="86">
        <f>S1204-0</f>
        <v>0</v>
      </c>
      <c r="V1204" s="186">
        <v>0</v>
      </c>
      <c r="W1204" s="186">
        <f>R1204+G1204+S1204+T1204</f>
        <v>22975211</v>
      </c>
      <c r="X1204" s="46"/>
      <c r="Z1204" s="219">
        <f>W1204-22975211</f>
        <v>0</v>
      </c>
      <c r="AA1204" t="s">
        <v>244</v>
      </c>
    </row>
    <row r="1205" spans="1:27" x14ac:dyDescent="0.2">
      <c r="A1205" s="191" t="s">
        <v>42</v>
      </c>
      <c r="B1205" s="91">
        <f t="shared" ref="B1205:G1205" si="563">B1202+B1204-B1155</f>
        <v>110400</v>
      </c>
      <c r="C1205" s="91">
        <f t="shared" si="563"/>
        <v>26454161.131999992</v>
      </c>
      <c r="D1205" s="91">
        <f t="shared" si="563"/>
        <v>57279384.24499999</v>
      </c>
      <c r="E1205" s="91">
        <f t="shared" si="563"/>
        <v>21534072.935000058</v>
      </c>
      <c r="F1205" s="91">
        <f t="shared" si="563"/>
        <v>7.4505805969238281E-9</v>
      </c>
      <c r="G1205" s="180">
        <f t="shared" si="563"/>
        <v>105378018.31200008</v>
      </c>
      <c r="H1205" s="91"/>
      <c r="I1205" s="91">
        <f t="shared" ref="I1205:W1205" si="564">I1202+I1204-I1155</f>
        <v>293921</v>
      </c>
      <c r="J1205" s="91">
        <f t="shared" si="564"/>
        <v>0</v>
      </c>
      <c r="K1205" s="91">
        <f t="shared" si="564"/>
        <v>17043575</v>
      </c>
      <c r="L1205" s="91">
        <f t="shared" si="564"/>
        <v>16780343</v>
      </c>
      <c r="M1205" s="91">
        <f t="shared" si="564"/>
        <v>903</v>
      </c>
      <c r="N1205" s="91">
        <f t="shared" si="564"/>
        <v>1398545</v>
      </c>
      <c r="O1205" s="91">
        <f t="shared" si="564"/>
        <v>13222036</v>
      </c>
      <c r="P1205" s="91">
        <f t="shared" si="564"/>
        <v>28040031</v>
      </c>
      <c r="Q1205" s="91">
        <f t="shared" si="564"/>
        <v>7682458</v>
      </c>
      <c r="R1205" s="180">
        <f t="shared" si="564"/>
        <v>84461812</v>
      </c>
      <c r="S1205" s="180">
        <f t="shared" si="564"/>
        <v>30390674.645999964</v>
      </c>
      <c r="T1205" s="215">
        <f t="shared" si="564"/>
        <v>26710637</v>
      </c>
      <c r="U1205" s="86">
        <f t="shared" si="564"/>
        <v>3672774.6460000006</v>
      </c>
      <c r="V1205" s="289">
        <f t="shared" si="564"/>
        <v>0</v>
      </c>
      <c r="W1205" s="86">
        <f t="shared" si="564"/>
        <v>246941141.95800021</v>
      </c>
      <c r="X1205" s="46">
        <f>X1202+W1204</f>
        <v>11013789025.937</v>
      </c>
    </row>
    <row r="1206" spans="1:27" x14ac:dyDescent="0.2">
      <c r="A1206" s="191"/>
      <c r="B1206" s="52"/>
      <c r="C1206" s="52"/>
      <c r="D1206" s="52"/>
      <c r="E1206" s="52"/>
      <c r="F1206" s="52"/>
      <c r="G1206" s="180"/>
      <c r="H1206" s="91"/>
      <c r="I1206" s="52"/>
      <c r="J1206" s="52"/>
      <c r="K1206" s="52"/>
      <c r="L1206" s="52"/>
      <c r="M1206" s="52"/>
      <c r="N1206" s="52"/>
      <c r="O1206" s="52"/>
      <c r="P1206" s="52"/>
      <c r="Q1206" s="52"/>
      <c r="R1206" s="180"/>
      <c r="S1206" s="180"/>
      <c r="T1206" s="44"/>
      <c r="U1206" s="86"/>
      <c r="V1206" s="44"/>
      <c r="W1206" s="86"/>
      <c r="X1206" s="46"/>
    </row>
    <row r="1207" spans="1:27" x14ac:dyDescent="0.2">
      <c r="A1207" s="245" t="s">
        <v>53</v>
      </c>
      <c r="B1207" s="91">
        <v>0</v>
      </c>
      <c r="C1207" s="91">
        <v>2843390</v>
      </c>
      <c r="D1207" s="91">
        <v>5371824</v>
      </c>
      <c r="E1207" s="91">
        <v>2021037</v>
      </c>
      <c r="F1207" s="91">
        <v>0</v>
      </c>
      <c r="G1207" s="180">
        <f>SUM(B1207:F1207)</f>
        <v>10236251</v>
      </c>
      <c r="H1207" s="91"/>
      <c r="I1207" s="91">
        <v>0</v>
      </c>
      <c r="J1207" s="91">
        <v>0</v>
      </c>
      <c r="K1207" s="253">
        <v>2027281</v>
      </c>
      <c r="L1207" s="253">
        <v>1885038</v>
      </c>
      <c r="M1207" s="91">
        <v>0</v>
      </c>
      <c r="N1207" s="91">
        <v>73544</v>
      </c>
      <c r="O1207" s="91">
        <v>1172067</v>
      </c>
      <c r="P1207" s="253">
        <v>3401755</v>
      </c>
      <c r="Q1207" s="91">
        <v>688905</v>
      </c>
      <c r="R1207" s="180">
        <f>SUM(I1207:Q1207)</f>
        <v>9248590</v>
      </c>
      <c r="S1207" s="180">
        <v>0</v>
      </c>
      <c r="T1207" s="91">
        <v>232635</v>
      </c>
      <c r="U1207" s="86">
        <v>0</v>
      </c>
      <c r="V1207" s="186">
        <v>0</v>
      </c>
      <c r="W1207" s="186">
        <f>R1207+G1207+S1207+T1207</f>
        <v>19717476</v>
      </c>
      <c r="X1207" s="46"/>
      <c r="Z1207" s="219">
        <f>W1207-19717476</f>
        <v>0</v>
      </c>
      <c r="AA1207" t="s">
        <v>244</v>
      </c>
    </row>
    <row r="1208" spans="1:27" ht="13.5" thickBot="1" x14ac:dyDescent="0.25">
      <c r="A1208" s="192" t="s">
        <v>42</v>
      </c>
      <c r="B1208" s="187">
        <f t="shared" ref="B1208:G1208" si="565">B1205+B1207-B1158</f>
        <v>0</v>
      </c>
      <c r="C1208" s="187">
        <f t="shared" si="565"/>
        <v>28071342.131999992</v>
      </c>
      <c r="D1208" s="187">
        <f t="shared" si="565"/>
        <v>59567015.24499999</v>
      </c>
      <c r="E1208" s="187">
        <f t="shared" si="565"/>
        <v>21566696.935000058</v>
      </c>
      <c r="F1208" s="187">
        <f t="shared" si="565"/>
        <v>7.4505805969238281E-9</v>
      </c>
      <c r="G1208" s="188">
        <f t="shared" si="565"/>
        <v>109205054.31200008</v>
      </c>
      <c r="H1208" s="187"/>
      <c r="I1208" s="187">
        <f t="shared" ref="I1208:W1208" si="566">I1205+I1207-I1158</f>
        <v>0</v>
      </c>
      <c r="J1208" s="187">
        <f t="shared" si="566"/>
        <v>0</v>
      </c>
      <c r="K1208" s="187">
        <f t="shared" si="566"/>
        <v>17713197</v>
      </c>
      <c r="L1208" s="187">
        <f t="shared" si="566"/>
        <v>17346817</v>
      </c>
      <c r="M1208" s="187">
        <f t="shared" si="566"/>
        <v>903</v>
      </c>
      <c r="N1208" s="187">
        <f t="shared" si="566"/>
        <v>1347331</v>
      </c>
      <c r="O1208" s="187">
        <f t="shared" si="566"/>
        <v>14394103</v>
      </c>
      <c r="P1208" s="187">
        <f t="shared" si="566"/>
        <v>28287235</v>
      </c>
      <c r="Q1208" s="187">
        <f t="shared" si="566"/>
        <v>8371363</v>
      </c>
      <c r="R1208" s="188">
        <f t="shared" si="566"/>
        <v>87460949</v>
      </c>
      <c r="S1208" s="188">
        <f t="shared" si="566"/>
        <v>27597580.999999963</v>
      </c>
      <c r="T1208" s="262">
        <f t="shared" si="566"/>
        <v>22346768</v>
      </c>
      <c r="U1208" s="224">
        <f t="shared" si="566"/>
        <v>3183681.0000000005</v>
      </c>
      <c r="V1208" s="290">
        <f t="shared" si="566"/>
        <v>0</v>
      </c>
      <c r="W1208" s="224">
        <f t="shared" si="566"/>
        <v>246610352.31200022</v>
      </c>
      <c r="X1208" s="190">
        <f>X1205+W1207</f>
        <v>11033506501.937</v>
      </c>
    </row>
    <row r="1209" spans="1:27" x14ac:dyDescent="0.2">
      <c r="A1209" s="211" t="s">
        <v>226</v>
      </c>
      <c r="M1209" t="s">
        <v>241</v>
      </c>
      <c r="N1209" t="s">
        <v>225</v>
      </c>
      <c r="O1209" t="s">
        <v>243</v>
      </c>
      <c r="P1209" t="s">
        <v>242</v>
      </c>
    </row>
    <row r="1210" spans="1:27" x14ac:dyDescent="0.2">
      <c r="A1210" s="211" t="s">
        <v>142</v>
      </c>
      <c r="M1210" s="219">
        <f>J1208+K1208+L1208+P1208+T1208</f>
        <v>85694017</v>
      </c>
      <c r="N1210" s="219">
        <f>M1208+N1208+O1208+Q1208</f>
        <v>24113700</v>
      </c>
      <c r="O1210" s="219">
        <f>S1208-U1208</f>
        <v>24413899.999999963</v>
      </c>
      <c r="P1210" s="219">
        <f>G1208+I1208+M1210+N1210+O1210</f>
        <v>243426671.31200007</v>
      </c>
      <c r="S1210" s="282" t="s">
        <v>238</v>
      </c>
      <c r="T1210" s="219"/>
    </row>
    <row r="1211" spans="1:27" x14ac:dyDescent="0.2">
      <c r="A1211" s="211" t="s">
        <v>182</v>
      </c>
      <c r="S1211" t="s">
        <v>122</v>
      </c>
    </row>
    <row r="1212" spans="1:27" x14ac:dyDescent="0.2">
      <c r="A1212" s="211"/>
      <c r="B1212" s="243"/>
      <c r="C1212" s="280"/>
      <c r="D1212" s="243"/>
      <c r="I1212" s="283">
        <f>I1143+I1146+I1149+I1152+I1155+I1158+I1174+I1177+I1180+I1183+I1186+I1189</f>
        <v>18962400</v>
      </c>
      <c r="J1212" s="283">
        <f t="shared" ref="J1212:Q1212" si="567">J1143+J1146+J1149+J1152+J1155+J1158+J1174+J1177+J1180+J1183+J1186+J1189</f>
        <v>6261449</v>
      </c>
      <c r="K1212" s="283">
        <f t="shared" si="567"/>
        <v>17871814</v>
      </c>
      <c r="L1212" s="283">
        <f t="shared" si="567"/>
        <v>17409069</v>
      </c>
      <c r="M1212" s="283">
        <f t="shared" si="567"/>
        <v>1270191</v>
      </c>
      <c r="N1212" s="283">
        <f t="shared" si="567"/>
        <v>3548191</v>
      </c>
      <c r="O1212" s="283">
        <f t="shared" si="567"/>
        <v>5190930</v>
      </c>
      <c r="P1212" s="283">
        <f t="shared" si="567"/>
        <v>26472580</v>
      </c>
      <c r="Q1212" s="283">
        <f t="shared" si="567"/>
        <v>11576057</v>
      </c>
    </row>
    <row r="1213" spans="1:27" x14ac:dyDescent="0.2">
      <c r="E1213" s="284"/>
      <c r="F1213" s="285" t="s">
        <v>230</v>
      </c>
    </row>
    <row r="1215" spans="1:27" ht="27" x14ac:dyDescent="0.35">
      <c r="A1215" s="126" t="s">
        <v>247</v>
      </c>
      <c r="B1215" s="121"/>
      <c r="C1215" s="121"/>
      <c r="D1215" s="122"/>
      <c r="E1215" s="121"/>
      <c r="F1215" s="121"/>
      <c r="G1215" s="121"/>
      <c r="H1215" s="121"/>
      <c r="I1215" s="121"/>
      <c r="J1215" s="121"/>
      <c r="K1215" s="121"/>
      <c r="L1215" s="123"/>
      <c r="M1215" s="124"/>
      <c r="N1215" s="121"/>
      <c r="O1215" s="121"/>
      <c r="P1215" s="121"/>
      <c r="Q1215" s="121"/>
      <c r="R1215" s="121"/>
      <c r="S1215" s="121"/>
      <c r="T1215" s="121"/>
      <c r="U1215" s="121"/>
      <c r="V1215" s="121"/>
      <c r="W1215" s="125"/>
      <c r="X1215" s="121"/>
    </row>
    <row r="1216" spans="1:27" x14ac:dyDescent="0.2">
      <c r="A1216" s="52"/>
      <c r="B1216" s="52"/>
      <c r="C1216" s="21"/>
      <c r="D1216" s="115"/>
      <c r="E1216" s="52"/>
      <c r="F1216" s="115"/>
      <c r="G1216" s="248" t="s">
        <v>60</v>
      </c>
      <c r="H1216" s="115"/>
      <c r="I1216" s="115"/>
      <c r="J1216" s="115"/>
      <c r="K1216" s="52"/>
      <c r="L1216" s="115"/>
      <c r="M1216" s="52"/>
      <c r="N1216" s="52"/>
      <c r="O1216" s="52"/>
      <c r="P1216" s="52"/>
      <c r="Q1216" s="52"/>
      <c r="R1216" s="52"/>
      <c r="S1216" s="52"/>
      <c r="T1216" s="52"/>
      <c r="U1216" s="52"/>
      <c r="V1216" s="52"/>
      <c r="W1216" s="91"/>
      <c r="X1216" s="91"/>
    </row>
    <row r="1217" spans="1:26" ht="27.75" thickBot="1" x14ac:dyDescent="0.4">
      <c r="A1217" s="126" t="s">
        <v>107</v>
      </c>
      <c r="B1217" s="121"/>
      <c r="C1217" s="121"/>
      <c r="D1217" s="121"/>
      <c r="E1217" s="121"/>
      <c r="F1217" s="122"/>
      <c r="G1217" s="121"/>
      <c r="H1217" s="121"/>
      <c r="I1217" s="121"/>
      <c r="J1217" s="121"/>
      <c r="K1217" s="121"/>
      <c r="L1217" s="121"/>
      <c r="M1217" s="121"/>
      <c r="N1217" s="121"/>
      <c r="O1217" s="121"/>
      <c r="P1217" s="121"/>
      <c r="Q1217" s="121"/>
      <c r="R1217" s="121"/>
      <c r="S1217" s="121"/>
      <c r="T1217" s="121"/>
      <c r="U1217" s="121"/>
      <c r="V1217" s="121"/>
      <c r="W1217" s="125"/>
      <c r="X1217" s="125"/>
    </row>
    <row r="1218" spans="1:26" x14ac:dyDescent="0.2">
      <c r="A1218" s="174"/>
      <c r="B1218" s="173"/>
      <c r="C1218" s="173"/>
      <c r="D1218" s="173"/>
      <c r="E1218" s="173"/>
      <c r="F1218" s="173"/>
      <c r="G1218" s="173"/>
      <c r="H1218" s="173"/>
      <c r="I1218" s="173"/>
      <c r="J1218" s="173"/>
      <c r="K1218" s="173"/>
      <c r="L1218" s="173"/>
      <c r="M1218" s="173"/>
      <c r="N1218" s="173"/>
      <c r="O1218" s="173"/>
      <c r="P1218" s="173"/>
      <c r="Q1218" s="173"/>
      <c r="R1218" s="173"/>
      <c r="S1218" s="173"/>
      <c r="T1218" s="173"/>
      <c r="U1218" s="173"/>
      <c r="V1218" s="173"/>
      <c r="W1218" s="173"/>
      <c r="X1218" s="181"/>
    </row>
    <row r="1219" spans="1:26" ht="13.5" thickBot="1" x14ac:dyDescent="0.25">
      <c r="A1219" s="176"/>
      <c r="B1219" s="179" t="s">
        <v>112</v>
      </c>
      <c r="C1219" s="177"/>
      <c r="D1219" s="177"/>
      <c r="E1219" s="177"/>
      <c r="F1219" s="177"/>
      <c r="G1219" s="177"/>
      <c r="H1219" s="177"/>
      <c r="I1219" s="177"/>
      <c r="J1219" s="177"/>
      <c r="K1219" s="177"/>
      <c r="L1219" s="179" t="s">
        <v>113</v>
      </c>
      <c r="M1219" s="177"/>
      <c r="N1219" s="177"/>
      <c r="O1219" s="177"/>
      <c r="P1219" s="177"/>
      <c r="Q1219" s="177"/>
      <c r="R1219" s="177"/>
      <c r="S1219" s="177"/>
      <c r="T1219" s="177"/>
      <c r="U1219" s="177"/>
      <c r="V1219" s="177"/>
      <c r="W1219" s="177"/>
      <c r="X1219" s="182"/>
    </row>
    <row r="1220" spans="1:26" x14ac:dyDescent="0.2">
      <c r="A1220" s="175"/>
      <c r="B1220" s="155" t="s">
        <v>11</v>
      </c>
      <c r="C1220" s="155" t="s">
        <v>12</v>
      </c>
      <c r="D1220" s="155" t="s">
        <v>13</v>
      </c>
      <c r="E1220" s="155" t="s">
        <v>14</v>
      </c>
      <c r="F1220" s="155" t="s">
        <v>15</v>
      </c>
      <c r="G1220" s="193" t="s">
        <v>16</v>
      </c>
      <c r="H1220" s="21"/>
      <c r="I1220" s="155" t="s">
        <v>17</v>
      </c>
      <c r="J1220" s="21"/>
      <c r="K1220" s="21"/>
      <c r="L1220" s="21"/>
      <c r="M1220" s="21"/>
      <c r="N1220" s="155" t="s">
        <v>18</v>
      </c>
      <c r="O1220" s="155" t="s">
        <v>19</v>
      </c>
      <c r="P1220" s="155" t="s">
        <v>20</v>
      </c>
      <c r="Q1220" s="155" t="s">
        <v>21</v>
      </c>
      <c r="R1220" s="193" t="s">
        <v>16</v>
      </c>
      <c r="S1220" s="193" t="s">
        <v>114</v>
      </c>
      <c r="T1220" s="209" t="s">
        <v>127</v>
      </c>
      <c r="U1220" s="207" t="s">
        <v>138</v>
      </c>
      <c r="V1220" s="221" t="s">
        <v>136</v>
      </c>
      <c r="W1220" s="155" t="s">
        <v>7</v>
      </c>
      <c r="X1220" s="194" t="s">
        <v>70</v>
      </c>
    </row>
    <row r="1221" spans="1:26" ht="13.5" thickBot="1" x14ac:dyDescent="0.25">
      <c r="A1221" s="176"/>
      <c r="B1221" s="179" t="s">
        <v>23</v>
      </c>
      <c r="C1221" s="179" t="s">
        <v>24</v>
      </c>
      <c r="D1221" s="179" t="s">
        <v>25</v>
      </c>
      <c r="E1221" s="179" t="s">
        <v>26</v>
      </c>
      <c r="F1221" s="179" t="s">
        <v>27</v>
      </c>
      <c r="G1221" s="195" t="s">
        <v>28</v>
      </c>
      <c r="H1221" s="179"/>
      <c r="I1221" s="179" t="s">
        <v>29</v>
      </c>
      <c r="J1221" s="179" t="s">
        <v>30</v>
      </c>
      <c r="K1221" s="179" t="s">
        <v>31</v>
      </c>
      <c r="L1221" s="179" t="s">
        <v>32</v>
      </c>
      <c r="M1221" s="179" t="s">
        <v>33</v>
      </c>
      <c r="N1221" s="179" t="s">
        <v>34</v>
      </c>
      <c r="O1221" s="179" t="s">
        <v>35</v>
      </c>
      <c r="P1221" s="179" t="s">
        <v>36</v>
      </c>
      <c r="Q1221" s="179" t="s">
        <v>37</v>
      </c>
      <c r="R1221" s="195" t="s">
        <v>28</v>
      </c>
      <c r="S1221" s="195" t="s">
        <v>129</v>
      </c>
      <c r="T1221" s="210" t="s">
        <v>130</v>
      </c>
      <c r="U1221" s="179" t="s">
        <v>139</v>
      </c>
      <c r="V1221" s="222" t="s">
        <v>143</v>
      </c>
      <c r="W1221" s="179" t="s">
        <v>181</v>
      </c>
      <c r="X1221" s="196" t="s">
        <v>71</v>
      </c>
    </row>
    <row r="1222" spans="1:26" x14ac:dyDescent="0.2">
      <c r="A1222" s="175"/>
      <c r="B1222" s="117"/>
      <c r="C1222" s="117"/>
      <c r="D1222" s="117"/>
      <c r="E1222" s="117"/>
      <c r="F1222" s="117"/>
      <c r="G1222" s="178"/>
      <c r="H1222" s="52"/>
      <c r="I1222" s="117"/>
      <c r="J1222" s="117"/>
      <c r="K1222" s="117"/>
      <c r="L1222" s="117"/>
      <c r="M1222" s="117"/>
      <c r="N1222" s="117"/>
      <c r="O1222" s="117"/>
      <c r="P1222" s="117"/>
      <c r="Q1222" s="117"/>
      <c r="R1222" s="178"/>
      <c r="S1222" s="208"/>
      <c r="T1222" s="185"/>
      <c r="U1222" s="185"/>
      <c r="V1222" s="185"/>
      <c r="W1222" s="185"/>
      <c r="X1222" s="183"/>
    </row>
    <row r="1223" spans="1:26" x14ac:dyDescent="0.2">
      <c r="A1223" s="191" t="s">
        <v>41</v>
      </c>
      <c r="B1223" s="91">
        <v>0</v>
      </c>
      <c r="C1223" s="91">
        <v>3403080</v>
      </c>
      <c r="D1223" s="91">
        <v>5505763</v>
      </c>
      <c r="E1223" s="91">
        <v>0</v>
      </c>
      <c r="F1223" s="91">
        <v>0</v>
      </c>
      <c r="G1223" s="180">
        <f>SUM(B1223:F1223)</f>
        <v>8908843</v>
      </c>
      <c r="H1223" s="91"/>
      <c r="I1223" s="91">
        <v>0</v>
      </c>
      <c r="J1223" s="91">
        <v>0</v>
      </c>
      <c r="K1223" s="253">
        <v>2057573</v>
      </c>
      <c r="L1223" s="253">
        <v>1936202</v>
      </c>
      <c r="M1223" s="91">
        <v>0</v>
      </c>
      <c r="N1223" s="91">
        <v>324131</v>
      </c>
      <c r="O1223" s="91">
        <v>1651863</v>
      </c>
      <c r="P1223" s="253">
        <v>3199218</v>
      </c>
      <c r="Q1223" s="91">
        <v>1680554</v>
      </c>
      <c r="R1223" s="180">
        <f>SUM(I1223:Q1223)</f>
        <v>10849541</v>
      </c>
      <c r="S1223" s="180">
        <v>0</v>
      </c>
      <c r="T1223" s="91">
        <v>0</v>
      </c>
      <c r="U1223" s="86">
        <v>0</v>
      </c>
      <c r="V1223" s="186">
        <v>0</v>
      </c>
      <c r="W1223" s="186">
        <f>R1223+G1223+S1223+T1223</f>
        <v>19758384</v>
      </c>
      <c r="X1223" s="46"/>
      <c r="Z1223" s="219">
        <f>W1223-19758384</f>
        <v>0</v>
      </c>
    </row>
    <row r="1224" spans="1:26" x14ac:dyDescent="0.2">
      <c r="A1224" s="191" t="s">
        <v>42</v>
      </c>
      <c r="B1224" s="91">
        <f t="shared" ref="B1224:G1224" si="568">B1208+B1223-B1174</f>
        <v>0</v>
      </c>
      <c r="C1224" s="91">
        <f t="shared" si="568"/>
        <v>30933853.762999993</v>
      </c>
      <c r="D1224" s="91">
        <f t="shared" si="568"/>
        <v>59907015.43999999</v>
      </c>
      <c r="E1224" s="91">
        <f t="shared" si="568"/>
        <v>20096946.930000059</v>
      </c>
      <c r="F1224" s="91">
        <f t="shared" si="568"/>
        <v>7.4505805969238281E-9</v>
      </c>
      <c r="G1224" s="180">
        <f t="shared" si="568"/>
        <v>110937816.13300008</v>
      </c>
      <c r="H1224" s="91"/>
      <c r="I1224" s="91">
        <f t="shared" ref="I1224:W1224" si="569">I1208+I1223-I1174</f>
        <v>0</v>
      </c>
      <c r="J1224" s="91">
        <f t="shared" si="569"/>
        <v>0</v>
      </c>
      <c r="K1224" s="91">
        <f t="shared" si="569"/>
        <v>18572655</v>
      </c>
      <c r="L1224" s="91">
        <f t="shared" si="569"/>
        <v>17999962</v>
      </c>
      <c r="M1224" s="91">
        <f t="shared" si="569"/>
        <v>903</v>
      </c>
      <c r="N1224" s="91">
        <f t="shared" si="569"/>
        <v>1671462</v>
      </c>
      <c r="O1224" s="91">
        <f t="shared" si="569"/>
        <v>16032261</v>
      </c>
      <c r="P1224" s="91">
        <f t="shared" si="569"/>
        <v>28379953</v>
      </c>
      <c r="Q1224" s="91">
        <f t="shared" si="569"/>
        <v>10051917</v>
      </c>
      <c r="R1224" s="180">
        <f t="shared" si="569"/>
        <v>92709113</v>
      </c>
      <c r="S1224" s="180">
        <f t="shared" si="569"/>
        <v>24551075.999999963</v>
      </c>
      <c r="T1224" s="215">
        <f t="shared" si="569"/>
        <v>19278754</v>
      </c>
      <c r="U1224" s="86">
        <f t="shared" si="569"/>
        <v>2669176.0000000005</v>
      </c>
      <c r="V1224" s="86">
        <f t="shared" si="569"/>
        <v>0</v>
      </c>
      <c r="W1224" s="86">
        <f t="shared" si="569"/>
        <v>247476759.13300022</v>
      </c>
      <c r="X1224" s="46">
        <f>X1208+W1223</f>
        <v>11053264885.937</v>
      </c>
    </row>
    <row r="1225" spans="1:26" x14ac:dyDescent="0.2">
      <c r="A1225" s="191"/>
      <c r="B1225" s="52"/>
      <c r="C1225" s="52"/>
      <c r="D1225" s="52"/>
      <c r="E1225" s="52"/>
      <c r="F1225" s="52"/>
      <c r="G1225" s="180"/>
      <c r="H1225" s="91"/>
      <c r="I1225" s="52"/>
      <c r="J1225" s="52"/>
      <c r="K1225" s="52"/>
      <c r="L1225" s="52"/>
      <c r="M1225" s="52"/>
      <c r="N1225" s="52"/>
      <c r="O1225" s="52"/>
      <c r="P1225" s="52"/>
      <c r="Q1225" s="52"/>
      <c r="R1225" s="180"/>
      <c r="S1225" s="178"/>
      <c r="T1225" s="218"/>
      <c r="U1225" s="217"/>
      <c r="V1225" s="185"/>
      <c r="W1225" s="186"/>
      <c r="X1225" s="46"/>
    </row>
    <row r="1226" spans="1:26" x14ac:dyDescent="0.2">
      <c r="A1226" s="191" t="s">
        <v>43</v>
      </c>
      <c r="B1226" s="91">
        <v>0</v>
      </c>
      <c r="C1226" s="91">
        <v>3009373</v>
      </c>
      <c r="D1226" s="91">
        <v>4187346</v>
      </c>
      <c r="E1226" s="91">
        <v>862534</v>
      </c>
      <c r="F1226" s="91">
        <v>0</v>
      </c>
      <c r="G1226" s="180">
        <f>SUM(B1226:F1226)</f>
        <v>8059253</v>
      </c>
      <c r="H1226" s="91"/>
      <c r="I1226" s="91">
        <v>0</v>
      </c>
      <c r="J1226" s="253">
        <v>0</v>
      </c>
      <c r="K1226" s="253">
        <v>1827788</v>
      </c>
      <c r="L1226" s="253">
        <v>1712305</v>
      </c>
      <c r="M1226" s="253">
        <v>0</v>
      </c>
      <c r="N1226" s="253">
        <v>279989</v>
      </c>
      <c r="O1226" s="253">
        <v>559439</v>
      </c>
      <c r="P1226" s="253">
        <v>2922528</v>
      </c>
      <c r="Q1226" s="91">
        <v>1871194</v>
      </c>
      <c r="R1226" s="180">
        <f>SUM(I1226:Q1226)</f>
        <v>9173243</v>
      </c>
      <c r="S1226" s="180">
        <v>0</v>
      </c>
      <c r="T1226" s="253">
        <v>353718</v>
      </c>
      <c r="U1226" s="86">
        <v>0</v>
      </c>
      <c r="V1226" s="186">
        <v>0</v>
      </c>
      <c r="W1226" s="186">
        <f>R1226+G1226+S1226+T1226</f>
        <v>17586214</v>
      </c>
      <c r="X1226" s="46"/>
      <c r="Z1226" s="219">
        <f>W1226-17586214</f>
        <v>0</v>
      </c>
    </row>
    <row r="1227" spans="1:26" x14ac:dyDescent="0.2">
      <c r="A1227" s="191" t="s">
        <v>42</v>
      </c>
      <c r="B1227" s="91">
        <f t="shared" ref="B1227:G1227" si="570">B1224+B1226-B1177</f>
        <v>0</v>
      </c>
      <c r="C1227" s="91">
        <f t="shared" si="570"/>
        <v>33149597.626999997</v>
      </c>
      <c r="D1227" s="91">
        <f t="shared" si="570"/>
        <v>59106503.083999991</v>
      </c>
      <c r="E1227" s="91">
        <f t="shared" si="570"/>
        <v>19066739.88800006</v>
      </c>
      <c r="F1227" s="91">
        <f t="shared" si="570"/>
        <v>7.4505805969238281E-9</v>
      </c>
      <c r="G1227" s="180">
        <f t="shared" si="570"/>
        <v>111322840.59900008</v>
      </c>
      <c r="H1227" s="91"/>
      <c r="I1227" s="91">
        <f t="shared" ref="I1227:W1227" si="571">I1224+I1226-I1177</f>
        <v>0</v>
      </c>
      <c r="J1227" s="91">
        <f t="shared" si="571"/>
        <v>0</v>
      </c>
      <c r="K1227" s="91">
        <f t="shared" si="571"/>
        <v>19081587</v>
      </c>
      <c r="L1227" s="91">
        <f t="shared" si="571"/>
        <v>18370708</v>
      </c>
      <c r="M1227" s="91">
        <f t="shared" si="571"/>
        <v>903</v>
      </c>
      <c r="N1227" s="91">
        <f t="shared" si="571"/>
        <v>1951451</v>
      </c>
      <c r="O1227" s="91">
        <f t="shared" si="571"/>
        <v>15705824</v>
      </c>
      <c r="P1227" s="91">
        <f t="shared" si="571"/>
        <v>28214535</v>
      </c>
      <c r="Q1227" s="91">
        <f t="shared" si="571"/>
        <v>11923111</v>
      </c>
      <c r="R1227" s="180">
        <f t="shared" si="571"/>
        <v>95248119</v>
      </c>
      <c r="S1227" s="180">
        <f t="shared" si="571"/>
        <v>22232720.999999963</v>
      </c>
      <c r="T1227" s="215">
        <f t="shared" si="571"/>
        <v>15518964</v>
      </c>
      <c r="U1227" s="86">
        <f t="shared" si="571"/>
        <v>2243321.0000000005</v>
      </c>
      <c r="V1227" s="86">
        <f t="shared" si="571"/>
        <v>0</v>
      </c>
      <c r="W1227" s="186">
        <f t="shared" si="571"/>
        <v>244322644.59900022</v>
      </c>
      <c r="X1227" s="46">
        <f>X1224+W1226</f>
        <v>11070851099.937</v>
      </c>
    </row>
    <row r="1228" spans="1:26" x14ac:dyDescent="0.2">
      <c r="A1228" s="191"/>
      <c r="B1228" s="91"/>
      <c r="C1228" s="91"/>
      <c r="D1228" s="91"/>
      <c r="E1228" s="91"/>
      <c r="F1228" s="91"/>
      <c r="G1228" s="180"/>
      <c r="H1228" s="91"/>
      <c r="I1228" s="91"/>
      <c r="J1228" s="91"/>
      <c r="K1228" s="91"/>
      <c r="L1228" s="91"/>
      <c r="M1228" s="91"/>
      <c r="N1228" s="91"/>
      <c r="O1228" s="91"/>
      <c r="P1228" s="91"/>
      <c r="Q1228" s="91"/>
      <c r="R1228" s="180"/>
      <c r="S1228" s="178"/>
      <c r="T1228" s="218"/>
      <c r="U1228" s="217"/>
      <c r="V1228" s="185"/>
      <c r="W1228" s="186"/>
      <c r="X1228" s="46"/>
    </row>
    <row r="1229" spans="1:26" x14ac:dyDescent="0.2">
      <c r="A1229" s="191" t="s">
        <v>44</v>
      </c>
      <c r="B1229" s="91">
        <v>0</v>
      </c>
      <c r="C1229" s="91">
        <v>2889198</v>
      </c>
      <c r="D1229" s="91">
        <v>4677113</v>
      </c>
      <c r="E1229" s="91">
        <v>978895</v>
      </c>
      <c r="F1229" s="91">
        <v>0</v>
      </c>
      <c r="G1229" s="180">
        <f>SUM(B1229:F1229)</f>
        <v>8545206</v>
      </c>
      <c r="H1229" s="91"/>
      <c r="I1229" s="91">
        <v>0</v>
      </c>
      <c r="J1229" s="253">
        <v>0</v>
      </c>
      <c r="K1229" s="253">
        <v>1355234</v>
      </c>
      <c r="L1229" s="253">
        <v>1295144</v>
      </c>
      <c r="M1229" s="253">
        <v>0</v>
      </c>
      <c r="N1229" s="253">
        <v>41411</v>
      </c>
      <c r="O1229" s="253">
        <v>1045108</v>
      </c>
      <c r="P1229" s="253">
        <v>1594699</v>
      </c>
      <c r="Q1229" s="91">
        <v>1000995</v>
      </c>
      <c r="R1229" s="180">
        <f>SUM(I1229:Q1229)</f>
        <v>6332591</v>
      </c>
      <c r="S1229" s="180">
        <v>0</v>
      </c>
      <c r="T1229" s="253">
        <v>1830325</v>
      </c>
      <c r="U1229" s="86">
        <v>0</v>
      </c>
      <c r="V1229" s="186">
        <v>0</v>
      </c>
      <c r="W1229" s="186">
        <f>R1229+G1229+S1229+T1229</f>
        <v>16708122</v>
      </c>
      <c r="X1229" s="46"/>
      <c r="Z1229" s="219">
        <f>W1229-16708121</f>
        <v>1</v>
      </c>
    </row>
    <row r="1230" spans="1:26" x14ac:dyDescent="0.2">
      <c r="A1230" s="191" t="s">
        <v>42</v>
      </c>
      <c r="B1230" s="91">
        <f t="shared" ref="B1230:G1230" si="572">B1227+B1229-B1180</f>
        <v>0</v>
      </c>
      <c r="C1230" s="91">
        <f t="shared" si="572"/>
        <v>34352863.626999997</v>
      </c>
      <c r="D1230" s="91">
        <f t="shared" si="572"/>
        <v>58620942.083999991</v>
      </c>
      <c r="E1230" s="91">
        <f t="shared" si="572"/>
        <v>18523810.88800006</v>
      </c>
      <c r="F1230" s="91">
        <f t="shared" si="572"/>
        <v>7.4505805969238281E-9</v>
      </c>
      <c r="G1230" s="180">
        <f t="shared" si="572"/>
        <v>111497616.59900008</v>
      </c>
      <c r="H1230" s="91"/>
      <c r="I1230" s="91">
        <f t="shared" ref="I1230:W1230" si="573">I1227+I1229-I1180</f>
        <v>0</v>
      </c>
      <c r="J1230" s="91">
        <f t="shared" si="573"/>
        <v>0</v>
      </c>
      <c r="K1230" s="91">
        <f t="shared" si="573"/>
        <v>19265099</v>
      </c>
      <c r="L1230" s="91">
        <f t="shared" si="573"/>
        <v>18627156</v>
      </c>
      <c r="M1230" s="91">
        <f t="shared" si="573"/>
        <v>903</v>
      </c>
      <c r="N1230" s="91">
        <f t="shared" si="573"/>
        <v>1876181</v>
      </c>
      <c r="O1230" s="91">
        <f t="shared" si="573"/>
        <v>15434300</v>
      </c>
      <c r="P1230" s="91">
        <f t="shared" si="573"/>
        <v>26526962</v>
      </c>
      <c r="Q1230" s="91">
        <f t="shared" si="573"/>
        <v>12115863</v>
      </c>
      <c r="R1230" s="180">
        <f t="shared" si="573"/>
        <v>93846464</v>
      </c>
      <c r="S1230" s="180">
        <f t="shared" si="573"/>
        <v>17864948.999999963</v>
      </c>
      <c r="T1230" s="215">
        <f t="shared" si="573"/>
        <v>15948407</v>
      </c>
      <c r="U1230" s="86">
        <f t="shared" si="573"/>
        <v>1767549.0000000005</v>
      </c>
      <c r="V1230" s="86">
        <f t="shared" si="573"/>
        <v>0</v>
      </c>
      <c r="W1230" s="186">
        <f t="shared" si="573"/>
        <v>239157436.59900022</v>
      </c>
      <c r="X1230" s="46">
        <f>X1227+W1229</f>
        <v>11087559221.937</v>
      </c>
    </row>
    <row r="1231" spans="1:26" x14ac:dyDescent="0.2">
      <c r="A1231" s="191"/>
      <c r="B1231" s="52"/>
      <c r="C1231" s="52"/>
      <c r="D1231" s="52"/>
      <c r="E1231" s="52"/>
      <c r="F1231" s="52"/>
      <c r="G1231" s="180"/>
      <c r="H1231" s="91"/>
      <c r="I1231" s="52"/>
      <c r="J1231" s="52"/>
      <c r="K1231" s="52"/>
      <c r="L1231" s="52"/>
      <c r="M1231" s="52"/>
      <c r="N1231" s="52"/>
      <c r="O1231" s="52"/>
      <c r="P1231" s="52"/>
      <c r="Q1231" s="52"/>
      <c r="R1231" s="180"/>
      <c r="S1231" s="178"/>
      <c r="T1231" s="218"/>
      <c r="U1231" s="217"/>
      <c r="V1231" s="185"/>
      <c r="W1231" s="186"/>
      <c r="X1231" s="46"/>
    </row>
    <row r="1232" spans="1:26" x14ac:dyDescent="0.2">
      <c r="A1232" s="191" t="s">
        <v>45</v>
      </c>
      <c r="B1232" s="91">
        <v>0</v>
      </c>
      <c r="C1232" s="91">
        <v>2436418</v>
      </c>
      <c r="D1232" s="91">
        <v>5154259</v>
      </c>
      <c r="E1232" s="91">
        <v>88821</v>
      </c>
      <c r="F1232" s="91">
        <v>0</v>
      </c>
      <c r="G1232" s="180">
        <f>SUM(B1232:F1232)</f>
        <v>7679498</v>
      </c>
      <c r="H1232" s="91"/>
      <c r="I1232" s="91">
        <v>0</v>
      </c>
      <c r="J1232" s="253">
        <v>0</v>
      </c>
      <c r="K1232" s="253">
        <v>1615289</v>
      </c>
      <c r="L1232" s="253">
        <v>1469823</v>
      </c>
      <c r="M1232" s="253">
        <v>0</v>
      </c>
      <c r="N1232" s="253">
        <v>223386</v>
      </c>
      <c r="O1232" s="253">
        <v>523759</v>
      </c>
      <c r="P1232" s="253">
        <v>1736415</v>
      </c>
      <c r="Q1232" s="91">
        <v>2220601</v>
      </c>
      <c r="R1232" s="180">
        <f>SUM(I1232:Q1232)</f>
        <v>7789273</v>
      </c>
      <c r="S1232" s="180">
        <v>0</v>
      </c>
      <c r="T1232" s="253">
        <v>0</v>
      </c>
      <c r="U1232" s="86">
        <v>0</v>
      </c>
      <c r="V1232" s="186">
        <v>0</v>
      </c>
      <c r="W1232" s="186">
        <f>R1232+G1232+S1232+T1232</f>
        <v>15468771</v>
      </c>
      <c r="X1232" s="46"/>
      <c r="Z1232" s="219">
        <f>W1232-15468771</f>
        <v>0</v>
      </c>
    </row>
    <row r="1233" spans="1:26" x14ac:dyDescent="0.2">
      <c r="A1233" s="191" t="s">
        <v>42</v>
      </c>
      <c r="B1233" s="91">
        <f t="shared" ref="B1233:G1233" si="574">B1230+B1232-B1183</f>
        <v>0</v>
      </c>
      <c r="C1233" s="91">
        <f t="shared" si="574"/>
        <v>33896451.626999997</v>
      </c>
      <c r="D1233" s="91">
        <f t="shared" si="574"/>
        <v>58456187.083999991</v>
      </c>
      <c r="E1233" s="91">
        <f t="shared" si="574"/>
        <v>18612631.88800006</v>
      </c>
      <c r="F1233" s="91">
        <f t="shared" si="574"/>
        <v>7.4505805969238281E-9</v>
      </c>
      <c r="G1233" s="180">
        <f t="shared" si="574"/>
        <v>110965270.59900008</v>
      </c>
      <c r="H1233" s="91"/>
      <c r="I1233" s="91">
        <f t="shared" ref="I1233:W1233" si="575">I1230+I1232-I1183</f>
        <v>0</v>
      </c>
      <c r="J1233" s="91">
        <f t="shared" si="575"/>
        <v>0</v>
      </c>
      <c r="K1233" s="91">
        <f t="shared" si="575"/>
        <v>18940753</v>
      </c>
      <c r="L1233" s="91">
        <f t="shared" si="575"/>
        <v>18296866</v>
      </c>
      <c r="M1233" s="91">
        <f t="shared" si="575"/>
        <v>903</v>
      </c>
      <c r="N1233" s="91">
        <f t="shared" si="575"/>
        <v>1813194</v>
      </c>
      <c r="O1233" s="91">
        <f t="shared" si="575"/>
        <v>14710786</v>
      </c>
      <c r="P1233" s="91">
        <f t="shared" si="575"/>
        <v>25882334</v>
      </c>
      <c r="Q1233" s="91">
        <f t="shared" si="575"/>
        <v>12001584</v>
      </c>
      <c r="R1233" s="180">
        <f t="shared" si="575"/>
        <v>91646420</v>
      </c>
      <c r="S1233" s="180">
        <f t="shared" si="575"/>
        <v>11719242.999999963</v>
      </c>
      <c r="T1233" s="215">
        <f t="shared" si="575"/>
        <v>13916305</v>
      </c>
      <c r="U1233" s="86">
        <f t="shared" si="575"/>
        <v>1248843.0000000005</v>
      </c>
      <c r="V1233" s="86">
        <f t="shared" si="575"/>
        <v>0</v>
      </c>
      <c r="W1233" s="186">
        <f t="shared" si="575"/>
        <v>228247238.59900022</v>
      </c>
      <c r="X1233" s="46">
        <f>X1230+W1232</f>
        <v>11103027992.937</v>
      </c>
    </row>
    <row r="1234" spans="1:26" x14ac:dyDescent="0.2">
      <c r="A1234" s="191"/>
      <c r="B1234" s="52"/>
      <c r="C1234" s="52"/>
      <c r="D1234" s="52"/>
      <c r="E1234" s="52"/>
      <c r="F1234" s="52"/>
      <c r="G1234" s="180"/>
      <c r="H1234" s="91"/>
      <c r="I1234" s="52"/>
      <c r="J1234" s="52"/>
      <c r="K1234" s="52"/>
      <c r="L1234" s="52"/>
      <c r="M1234" s="52"/>
      <c r="N1234" s="52"/>
      <c r="O1234" s="52"/>
      <c r="P1234" s="52"/>
      <c r="Q1234" s="52"/>
      <c r="R1234" s="180"/>
      <c r="S1234" s="180"/>
      <c r="T1234" s="44"/>
      <c r="U1234" s="86"/>
      <c r="V1234" s="186"/>
      <c r="W1234" s="186"/>
      <c r="X1234" s="46"/>
    </row>
    <row r="1235" spans="1:26" x14ac:dyDescent="0.2">
      <c r="A1235" s="191" t="s">
        <v>46</v>
      </c>
      <c r="B1235" s="91">
        <v>0</v>
      </c>
      <c r="C1235" s="91">
        <v>2025705</v>
      </c>
      <c r="D1235" s="91">
        <v>4226303</v>
      </c>
      <c r="E1235" s="91">
        <v>0</v>
      </c>
      <c r="F1235" s="91">
        <v>0</v>
      </c>
      <c r="G1235" s="180">
        <f>SUM(B1235:F1235)</f>
        <v>6252008</v>
      </c>
      <c r="H1235" s="91"/>
      <c r="I1235" s="91">
        <v>0</v>
      </c>
      <c r="J1235" s="253">
        <v>0</v>
      </c>
      <c r="K1235" s="253">
        <v>764764</v>
      </c>
      <c r="L1235" s="253">
        <v>680631</v>
      </c>
      <c r="M1235" s="253">
        <v>0</v>
      </c>
      <c r="N1235" s="253">
        <v>133755</v>
      </c>
      <c r="O1235" s="253">
        <v>193827</v>
      </c>
      <c r="P1235" s="253">
        <v>0</v>
      </c>
      <c r="Q1235" s="91">
        <v>1038622</v>
      </c>
      <c r="R1235" s="180">
        <f>SUM(I1235:Q1235)</f>
        <v>2811599</v>
      </c>
      <c r="S1235" s="180">
        <v>0</v>
      </c>
      <c r="T1235" s="253">
        <v>1692221</v>
      </c>
      <c r="U1235" s="86">
        <v>0</v>
      </c>
      <c r="V1235" s="186">
        <v>0</v>
      </c>
      <c r="W1235" s="186">
        <f>R1235+G1235+S1235+T1235</f>
        <v>10755828</v>
      </c>
      <c r="X1235" s="46"/>
      <c r="Z1235" s="219">
        <f>W1235-10755828</f>
        <v>0</v>
      </c>
    </row>
    <row r="1236" spans="1:26" x14ac:dyDescent="0.2">
      <c r="A1236" s="191" t="s">
        <v>42</v>
      </c>
      <c r="B1236" s="91">
        <f t="shared" ref="B1236:G1236" si="576">B1233+B1235-B1186</f>
        <v>0</v>
      </c>
      <c r="C1236" s="91">
        <f t="shared" si="576"/>
        <v>33064349.226999998</v>
      </c>
      <c r="D1236" s="91">
        <f t="shared" si="576"/>
        <v>57461297.751999989</v>
      </c>
      <c r="E1236" s="91">
        <f t="shared" si="576"/>
        <v>18508555.148000062</v>
      </c>
      <c r="F1236" s="91">
        <f t="shared" si="576"/>
        <v>7.4505805969238281E-9</v>
      </c>
      <c r="G1236" s="180">
        <f t="shared" si="576"/>
        <v>109034202.12700008</v>
      </c>
      <c r="H1236" s="91"/>
      <c r="I1236" s="91">
        <f t="shared" ref="I1236:W1236" si="577">I1233+I1235-I1186</f>
        <v>0</v>
      </c>
      <c r="J1236" s="91">
        <f t="shared" si="577"/>
        <v>0</v>
      </c>
      <c r="K1236" s="91">
        <f t="shared" si="577"/>
        <v>18623335</v>
      </c>
      <c r="L1236" s="91">
        <f t="shared" si="577"/>
        <v>17790671</v>
      </c>
      <c r="M1236" s="91">
        <f t="shared" si="577"/>
        <v>903</v>
      </c>
      <c r="N1236" s="91">
        <f t="shared" si="577"/>
        <v>1946949</v>
      </c>
      <c r="O1236" s="91">
        <f t="shared" si="577"/>
        <v>14486695</v>
      </c>
      <c r="P1236" s="91">
        <f t="shared" si="577"/>
        <v>24606457</v>
      </c>
      <c r="Q1236" s="91">
        <f t="shared" si="577"/>
        <v>13040206</v>
      </c>
      <c r="R1236" s="180">
        <f t="shared" si="577"/>
        <v>90495216</v>
      </c>
      <c r="S1236" s="180">
        <f t="shared" si="577"/>
        <v>8802264.9999999627</v>
      </c>
      <c r="T1236" s="215">
        <f t="shared" si="577"/>
        <v>14582382</v>
      </c>
      <c r="U1236" s="86">
        <f t="shared" si="577"/>
        <v>900865.00000000047</v>
      </c>
      <c r="V1236" s="86">
        <f t="shared" si="577"/>
        <v>0</v>
      </c>
      <c r="W1236" s="186">
        <f t="shared" si="577"/>
        <v>222914065.12700021</v>
      </c>
      <c r="X1236" s="46">
        <f>X1233+W1235</f>
        <v>11113783820.937</v>
      </c>
    </row>
    <row r="1237" spans="1:26" x14ac:dyDescent="0.2">
      <c r="A1237" s="191"/>
      <c r="B1237" s="52"/>
      <c r="C1237" s="52"/>
      <c r="D1237" s="52"/>
      <c r="E1237" s="52"/>
      <c r="F1237" s="52"/>
      <c r="G1237" s="180"/>
      <c r="H1237" s="91"/>
      <c r="I1237" s="52"/>
      <c r="J1237" s="52"/>
      <c r="K1237" s="52"/>
      <c r="L1237" s="52"/>
      <c r="M1237" s="52"/>
      <c r="N1237" s="52"/>
      <c r="O1237" s="52"/>
      <c r="P1237" s="52"/>
      <c r="Q1237" s="52"/>
      <c r="R1237" s="180"/>
      <c r="S1237" s="180"/>
      <c r="T1237" s="44"/>
      <c r="U1237" s="86"/>
      <c r="V1237" s="44"/>
      <c r="W1237" s="86"/>
      <c r="X1237" s="46"/>
    </row>
    <row r="1238" spans="1:26" x14ac:dyDescent="0.2">
      <c r="A1238" s="191" t="s">
        <v>47</v>
      </c>
      <c r="B1238" s="91">
        <v>0</v>
      </c>
      <c r="C1238" s="91">
        <v>1178664</v>
      </c>
      <c r="D1238" s="91">
        <v>1166788</v>
      </c>
      <c r="E1238" s="91">
        <v>0</v>
      </c>
      <c r="F1238" s="91">
        <v>0</v>
      </c>
      <c r="G1238" s="180">
        <f>SUM(B1238:F1238)</f>
        <v>2345452</v>
      </c>
      <c r="H1238" s="91"/>
      <c r="I1238" s="91">
        <v>0</v>
      </c>
      <c r="J1238" s="253">
        <v>0</v>
      </c>
      <c r="K1238" s="253">
        <v>0</v>
      </c>
      <c r="L1238" s="253">
        <v>0</v>
      </c>
      <c r="M1238" s="253">
        <v>0</v>
      </c>
      <c r="N1238" s="253">
        <v>0</v>
      </c>
      <c r="O1238" s="253">
        <v>0</v>
      </c>
      <c r="P1238" s="253">
        <v>0</v>
      </c>
      <c r="Q1238" s="91">
        <v>1394480</v>
      </c>
      <c r="R1238" s="180">
        <f>SUM(I1238:Q1238)</f>
        <v>1394480</v>
      </c>
      <c r="S1238" s="180">
        <v>0</v>
      </c>
      <c r="T1238" s="253">
        <v>7604125</v>
      </c>
      <c r="U1238" s="86">
        <v>0</v>
      </c>
      <c r="V1238" s="186">
        <v>0</v>
      </c>
      <c r="W1238" s="186">
        <f>R1238+G1238+S1238+T1238</f>
        <v>11344057</v>
      </c>
      <c r="X1238" s="46"/>
      <c r="Z1238" s="219">
        <f>W1238-11344056</f>
        <v>1</v>
      </c>
    </row>
    <row r="1239" spans="1:26" x14ac:dyDescent="0.2">
      <c r="A1239" s="191" t="s">
        <v>42</v>
      </c>
      <c r="B1239" s="91">
        <f t="shared" ref="B1239:G1239" si="578">B1236+B1238-B1189</f>
        <v>0</v>
      </c>
      <c r="C1239" s="91">
        <f t="shared" si="578"/>
        <v>31269066.413999997</v>
      </c>
      <c r="D1239" s="91">
        <f t="shared" si="578"/>
        <v>54484345.139999986</v>
      </c>
      <c r="E1239" s="91">
        <f t="shared" si="578"/>
        <v>17322038.62700006</v>
      </c>
      <c r="F1239" s="91">
        <f t="shared" si="578"/>
        <v>7.4505805969238281E-9</v>
      </c>
      <c r="G1239" s="180">
        <f t="shared" si="578"/>
        <v>103075450.18100008</v>
      </c>
      <c r="H1239" s="91"/>
      <c r="I1239" s="91">
        <f t="shared" ref="I1239:W1239" si="579">I1236+I1238-I1189</f>
        <v>0</v>
      </c>
      <c r="J1239" s="91">
        <f t="shared" si="579"/>
        <v>0</v>
      </c>
      <c r="K1239" s="91">
        <f t="shared" si="579"/>
        <v>17142953</v>
      </c>
      <c r="L1239" s="91">
        <f t="shared" si="579"/>
        <v>16351921</v>
      </c>
      <c r="M1239" s="91">
        <f t="shared" si="579"/>
        <v>903</v>
      </c>
      <c r="N1239" s="91">
        <f t="shared" si="579"/>
        <v>1946949</v>
      </c>
      <c r="O1239" s="91">
        <f t="shared" si="579"/>
        <v>13182538</v>
      </c>
      <c r="P1239" s="91">
        <f t="shared" si="579"/>
        <v>22664551</v>
      </c>
      <c r="Q1239" s="91">
        <f t="shared" si="579"/>
        <v>14434686</v>
      </c>
      <c r="R1239" s="180">
        <f t="shared" si="579"/>
        <v>85724501</v>
      </c>
      <c r="S1239" s="180">
        <f t="shared" si="579"/>
        <v>6864113.9999999627</v>
      </c>
      <c r="T1239" s="215">
        <f t="shared" si="579"/>
        <v>20536569</v>
      </c>
      <c r="U1239" s="86">
        <f t="shared" si="579"/>
        <v>522714.00000000047</v>
      </c>
      <c r="V1239" s="289">
        <f t="shared" si="579"/>
        <v>0</v>
      </c>
      <c r="W1239" s="86">
        <f t="shared" si="579"/>
        <v>216200634.1810002</v>
      </c>
      <c r="X1239" s="46">
        <f>X1236+W1238</f>
        <v>11125127877.937</v>
      </c>
    </row>
    <row r="1240" spans="1:26" x14ac:dyDescent="0.2">
      <c r="A1240" s="191"/>
      <c r="B1240" s="52"/>
      <c r="C1240" s="52"/>
      <c r="D1240" s="52"/>
      <c r="E1240" s="52"/>
      <c r="F1240" s="52"/>
      <c r="G1240" s="180"/>
      <c r="H1240" s="91"/>
      <c r="I1240" s="52"/>
      <c r="J1240" s="52"/>
      <c r="K1240" s="52"/>
      <c r="L1240" s="52"/>
      <c r="M1240" s="52"/>
      <c r="N1240" s="52"/>
      <c r="O1240" s="52"/>
      <c r="P1240" s="52"/>
      <c r="Q1240" s="52"/>
      <c r="R1240" s="180"/>
      <c r="S1240" s="180" t="s">
        <v>105</v>
      </c>
      <c r="T1240" s="44"/>
      <c r="U1240" s="86"/>
      <c r="V1240" s="44"/>
      <c r="W1240" s="86"/>
      <c r="X1240" s="46"/>
    </row>
    <row r="1241" spans="1:26" x14ac:dyDescent="0.2">
      <c r="A1241" s="191" t="s">
        <v>48</v>
      </c>
      <c r="B1241" s="91">
        <v>0</v>
      </c>
      <c r="C1241" s="91">
        <v>1699975</v>
      </c>
      <c r="D1241" s="91">
        <v>0</v>
      </c>
      <c r="E1241" s="91">
        <v>0</v>
      </c>
      <c r="F1241" s="91">
        <v>0</v>
      </c>
      <c r="G1241" s="180">
        <f>SUM(B1241:F1241)</f>
        <v>1699975</v>
      </c>
      <c r="H1241" s="91"/>
      <c r="I1241" s="91">
        <v>0</v>
      </c>
      <c r="J1241" s="253">
        <v>0</v>
      </c>
      <c r="K1241" s="253">
        <v>0</v>
      </c>
      <c r="L1241" s="253">
        <v>0</v>
      </c>
      <c r="M1241" s="253">
        <v>0</v>
      </c>
      <c r="N1241" s="253">
        <v>0</v>
      </c>
      <c r="O1241" s="253">
        <v>0</v>
      </c>
      <c r="P1241" s="253">
        <v>0</v>
      </c>
      <c r="Q1241" s="91">
        <v>2264732</v>
      </c>
      <c r="R1241" s="180">
        <f>SUM(I1241:Q1241)</f>
        <v>2264732</v>
      </c>
      <c r="S1241" s="180">
        <v>0</v>
      </c>
      <c r="T1241" s="253">
        <v>8090690</v>
      </c>
      <c r="U1241" s="86">
        <v>0</v>
      </c>
      <c r="V1241" s="186">
        <v>0</v>
      </c>
      <c r="W1241" s="186">
        <f>R1241+G1241+S1241+T1241</f>
        <v>12055397</v>
      </c>
      <c r="X1241" s="46"/>
      <c r="Z1241" s="219">
        <f>W1241-12055397</f>
        <v>0</v>
      </c>
    </row>
    <row r="1242" spans="1:26" x14ac:dyDescent="0.2">
      <c r="A1242" s="191" t="s">
        <v>42</v>
      </c>
      <c r="B1242" s="91">
        <f t="shared" ref="B1242:G1242" si="580">B1239+B1241-B1192</f>
        <v>0</v>
      </c>
      <c r="C1242" s="91">
        <f t="shared" si="580"/>
        <v>29987007.413999997</v>
      </c>
      <c r="D1242" s="91">
        <f t="shared" si="580"/>
        <v>49407023.139999986</v>
      </c>
      <c r="E1242" s="91">
        <f t="shared" si="580"/>
        <v>17322038.62700006</v>
      </c>
      <c r="F1242" s="91">
        <f t="shared" si="580"/>
        <v>7.4505805969238281E-9</v>
      </c>
      <c r="G1242" s="180">
        <f t="shared" si="580"/>
        <v>96716069.181000084</v>
      </c>
      <c r="H1242" s="91"/>
      <c r="I1242" s="91">
        <f t="shared" ref="I1242:W1242" si="581">I1239+I1241-I1192</f>
        <v>0</v>
      </c>
      <c r="J1242" s="91">
        <f t="shared" si="581"/>
        <v>0</v>
      </c>
      <c r="K1242" s="91">
        <f t="shared" si="581"/>
        <v>15688843</v>
      </c>
      <c r="L1242" s="91">
        <f t="shared" si="581"/>
        <v>14914867</v>
      </c>
      <c r="M1242" s="91">
        <f t="shared" si="581"/>
        <v>903</v>
      </c>
      <c r="N1242" s="91">
        <f t="shared" si="581"/>
        <v>1946949</v>
      </c>
      <c r="O1242" s="91">
        <f t="shared" si="581"/>
        <v>11710631</v>
      </c>
      <c r="P1242" s="91">
        <f t="shared" si="581"/>
        <v>20155142</v>
      </c>
      <c r="Q1242" s="91">
        <f t="shared" si="581"/>
        <v>16699418</v>
      </c>
      <c r="R1242" s="180">
        <f t="shared" si="581"/>
        <v>81116753</v>
      </c>
      <c r="S1242" s="180">
        <f t="shared" si="581"/>
        <v>4579715.9999999627</v>
      </c>
      <c r="T1242" s="215">
        <f t="shared" si="581"/>
        <v>26653711</v>
      </c>
      <c r="U1242" s="86">
        <f t="shared" si="581"/>
        <v>259716.00000000047</v>
      </c>
      <c r="V1242" s="289">
        <f t="shared" si="581"/>
        <v>0</v>
      </c>
      <c r="W1242" s="86">
        <f t="shared" si="581"/>
        <v>209066249.1810002</v>
      </c>
      <c r="X1242" s="46">
        <f>X1239+W1241</f>
        <v>11137183274.937</v>
      </c>
    </row>
    <row r="1243" spans="1:26" x14ac:dyDescent="0.2">
      <c r="A1243" s="191"/>
      <c r="B1243" s="52"/>
      <c r="C1243" s="52"/>
      <c r="D1243" s="52"/>
      <c r="E1243" s="52"/>
      <c r="F1243" s="52"/>
      <c r="G1243" s="180"/>
      <c r="H1243" s="91"/>
      <c r="I1243" s="52"/>
      <c r="J1243" s="52"/>
      <c r="K1243" s="52"/>
      <c r="L1243" s="52"/>
      <c r="M1243" s="52"/>
      <c r="N1243" s="52"/>
      <c r="O1243" s="52"/>
      <c r="P1243" s="52"/>
      <c r="Q1243" s="52"/>
      <c r="R1243" s="180"/>
      <c r="S1243" s="180"/>
      <c r="T1243" s="44"/>
      <c r="U1243" s="86"/>
      <c r="V1243" s="44"/>
      <c r="W1243" s="86"/>
      <c r="X1243" s="46"/>
    </row>
    <row r="1244" spans="1:26" x14ac:dyDescent="0.2">
      <c r="A1244" s="191" t="s">
        <v>49</v>
      </c>
      <c r="B1244" s="91">
        <v>0</v>
      </c>
      <c r="C1244" s="91">
        <v>1698719</v>
      </c>
      <c r="D1244" s="91">
        <v>0</v>
      </c>
      <c r="E1244" s="91">
        <v>0</v>
      </c>
      <c r="F1244" s="91">
        <v>0</v>
      </c>
      <c r="G1244" s="180">
        <f>SUM(B1244:F1244)</f>
        <v>1698719</v>
      </c>
      <c r="H1244" s="91"/>
      <c r="I1244" s="91">
        <v>0</v>
      </c>
      <c r="J1244" s="253">
        <v>0</v>
      </c>
      <c r="K1244" s="253">
        <v>1279773</v>
      </c>
      <c r="L1244" s="253">
        <v>1190203</v>
      </c>
      <c r="M1244" s="253">
        <v>0</v>
      </c>
      <c r="N1244" s="253">
        <v>0</v>
      </c>
      <c r="O1244" s="253">
        <v>262233</v>
      </c>
      <c r="P1244" s="253">
        <v>0</v>
      </c>
      <c r="Q1244" s="91">
        <v>2270916</v>
      </c>
      <c r="R1244" s="180">
        <f>SUM(I1244:Q1244)</f>
        <v>5003125</v>
      </c>
      <c r="S1244" s="180">
        <v>0</v>
      </c>
      <c r="T1244" s="253">
        <v>3403279</v>
      </c>
      <c r="U1244" s="86">
        <v>0</v>
      </c>
      <c r="V1244" s="186">
        <v>0</v>
      </c>
      <c r="W1244" s="186">
        <f>R1244+G1244+S1244+T1244</f>
        <v>10105123</v>
      </c>
      <c r="X1244" s="46"/>
      <c r="Z1244" s="219">
        <f>W1244-10105123</f>
        <v>0</v>
      </c>
    </row>
    <row r="1245" spans="1:26" x14ac:dyDescent="0.2">
      <c r="A1245" s="191" t="s">
        <v>42</v>
      </c>
      <c r="B1245" s="91">
        <f t="shared" ref="B1245:G1245" si="582">B1242+B1244-B1195</f>
        <v>0</v>
      </c>
      <c r="C1245" s="91">
        <f t="shared" si="582"/>
        <v>28822757.413999997</v>
      </c>
      <c r="D1245" s="91">
        <f t="shared" si="582"/>
        <v>43871541.139999986</v>
      </c>
      <c r="E1245" s="91">
        <f t="shared" si="582"/>
        <v>17322038.62700006</v>
      </c>
      <c r="F1245" s="91">
        <f t="shared" si="582"/>
        <v>7.4505805969238281E-9</v>
      </c>
      <c r="G1245" s="180">
        <f t="shared" si="582"/>
        <v>90016337.181000084</v>
      </c>
      <c r="H1245" s="91"/>
      <c r="I1245" s="91">
        <f t="shared" ref="I1245:W1245" si="583">I1242+I1244-I1195</f>
        <v>0</v>
      </c>
      <c r="J1245" s="91">
        <f t="shared" si="583"/>
        <v>0</v>
      </c>
      <c r="K1245" s="91">
        <f t="shared" si="583"/>
        <v>15579549</v>
      </c>
      <c r="L1245" s="91">
        <f t="shared" si="583"/>
        <v>14722888</v>
      </c>
      <c r="M1245" s="91">
        <f t="shared" si="583"/>
        <v>903</v>
      </c>
      <c r="N1245" s="91">
        <f t="shared" si="583"/>
        <v>1946949</v>
      </c>
      <c r="O1245" s="91">
        <f t="shared" si="583"/>
        <v>10346483</v>
      </c>
      <c r="P1245" s="91">
        <f t="shared" si="583"/>
        <v>18445009</v>
      </c>
      <c r="Q1245" s="91">
        <f t="shared" si="583"/>
        <v>18970334</v>
      </c>
      <c r="R1245" s="180">
        <f t="shared" si="583"/>
        <v>80012115</v>
      </c>
      <c r="S1245" s="180">
        <f t="shared" si="583"/>
        <v>2581085.9999999627</v>
      </c>
      <c r="T1245" s="215">
        <f t="shared" si="583"/>
        <v>28583366</v>
      </c>
      <c r="U1245" s="86">
        <f t="shared" si="583"/>
        <v>121086.00000000047</v>
      </c>
      <c r="V1245" s="289">
        <f t="shared" si="583"/>
        <v>0</v>
      </c>
      <c r="W1245" s="86">
        <f t="shared" si="583"/>
        <v>201192904.1810002</v>
      </c>
      <c r="X1245" s="46">
        <f>X1242+W1244</f>
        <v>11147288397.937</v>
      </c>
    </row>
    <row r="1246" spans="1:26" x14ac:dyDescent="0.2">
      <c r="A1246" s="191"/>
      <c r="B1246" s="52"/>
      <c r="C1246" s="52"/>
      <c r="D1246" s="52"/>
      <c r="E1246" s="52"/>
      <c r="F1246" s="52"/>
      <c r="G1246" s="180"/>
      <c r="H1246" s="91"/>
      <c r="I1246" s="52"/>
      <c r="J1246" s="52"/>
      <c r="K1246" s="52"/>
      <c r="L1246" s="52"/>
      <c r="M1246" s="52"/>
      <c r="N1246" s="52"/>
      <c r="O1246" s="52"/>
      <c r="P1246" s="52"/>
      <c r="Q1246" s="52"/>
      <c r="R1246" s="180"/>
      <c r="S1246" s="180"/>
      <c r="T1246" s="44"/>
      <c r="U1246" s="86"/>
      <c r="V1246" s="44"/>
      <c r="W1246" s="86"/>
      <c r="X1246" s="46"/>
    </row>
    <row r="1247" spans="1:26" x14ac:dyDescent="0.2">
      <c r="A1247" s="191" t="s">
        <v>50</v>
      </c>
      <c r="B1247" s="91">
        <v>0</v>
      </c>
      <c r="C1247" s="91">
        <v>0</v>
      </c>
      <c r="D1247" s="91">
        <v>0</v>
      </c>
      <c r="E1247" s="91">
        <v>0</v>
      </c>
      <c r="F1247" s="91">
        <v>0</v>
      </c>
      <c r="G1247" s="180">
        <f>SUM(B1247:F1247)</f>
        <v>0</v>
      </c>
      <c r="H1247" s="91"/>
      <c r="I1247" s="91">
        <v>0</v>
      </c>
      <c r="J1247" s="253">
        <v>0</v>
      </c>
      <c r="K1247" s="253">
        <v>1590308</v>
      </c>
      <c r="L1247" s="253">
        <v>1396664</v>
      </c>
      <c r="M1247" s="253">
        <v>0</v>
      </c>
      <c r="N1247" s="253">
        <v>0</v>
      </c>
      <c r="O1247" s="253">
        <v>1178465</v>
      </c>
      <c r="P1247" s="253">
        <v>0</v>
      </c>
      <c r="Q1247" s="91">
        <v>2195830</v>
      </c>
      <c r="R1247" s="180">
        <f>SUM(I1247:Q1247)</f>
        <v>6361267</v>
      </c>
      <c r="S1247" s="180">
        <v>0</v>
      </c>
      <c r="T1247" s="253">
        <v>1435131</v>
      </c>
      <c r="U1247" s="86">
        <v>0</v>
      </c>
      <c r="V1247" s="186">
        <v>0</v>
      </c>
      <c r="W1247" s="186">
        <f>R1247+G1247+S1247+T1247</f>
        <v>7796398</v>
      </c>
      <c r="X1247" s="46"/>
      <c r="Z1247" s="219">
        <f>W1247-7796398</f>
        <v>0</v>
      </c>
    </row>
    <row r="1248" spans="1:26" x14ac:dyDescent="0.2">
      <c r="A1248" s="191" t="s">
        <v>42</v>
      </c>
      <c r="B1248" s="91">
        <f t="shared" ref="B1248:G1248" si="584">B1245+B1247-B1198</f>
        <v>0</v>
      </c>
      <c r="C1248" s="91">
        <f t="shared" si="584"/>
        <v>26202125.413999997</v>
      </c>
      <c r="D1248" s="91">
        <f t="shared" si="584"/>
        <v>38470608.139999986</v>
      </c>
      <c r="E1248" s="91">
        <f t="shared" si="584"/>
        <v>16072766.62700006</v>
      </c>
      <c r="F1248" s="91">
        <f t="shared" si="584"/>
        <v>7.4505805969238281E-9</v>
      </c>
      <c r="G1248" s="180">
        <f t="shared" si="584"/>
        <v>80745500.181000084</v>
      </c>
      <c r="H1248" s="91"/>
      <c r="I1248" s="91">
        <f t="shared" ref="I1248:W1248" si="585">I1245+I1247-I1198</f>
        <v>0</v>
      </c>
      <c r="J1248" s="91">
        <f t="shared" si="585"/>
        <v>0</v>
      </c>
      <c r="K1248" s="91">
        <f t="shared" si="585"/>
        <v>15747145</v>
      </c>
      <c r="L1248" s="91">
        <f t="shared" si="585"/>
        <v>14714898</v>
      </c>
      <c r="M1248" s="91">
        <f t="shared" si="585"/>
        <v>903</v>
      </c>
      <c r="N1248" s="91">
        <f t="shared" si="585"/>
        <v>1946949</v>
      </c>
      <c r="O1248" s="91">
        <f t="shared" si="585"/>
        <v>9947652</v>
      </c>
      <c r="P1248" s="91">
        <f t="shared" si="585"/>
        <v>18207292</v>
      </c>
      <c r="Q1248" s="91">
        <f t="shared" si="585"/>
        <v>21166164</v>
      </c>
      <c r="R1248" s="180">
        <f t="shared" si="585"/>
        <v>81731003</v>
      </c>
      <c r="S1248" s="180">
        <f t="shared" si="585"/>
        <v>608430.99999996275</v>
      </c>
      <c r="T1248" s="215">
        <f t="shared" si="585"/>
        <v>26791173</v>
      </c>
      <c r="U1248" s="86">
        <f t="shared" si="585"/>
        <v>-51568.999999999534</v>
      </c>
      <c r="V1248" s="289">
        <f t="shared" si="585"/>
        <v>0</v>
      </c>
      <c r="W1248" s="86">
        <f t="shared" si="585"/>
        <v>189876107.1810002</v>
      </c>
      <c r="X1248" s="46">
        <f>X1245+W1247</f>
        <v>11155084795.937</v>
      </c>
    </row>
    <row r="1249" spans="1:26" x14ac:dyDescent="0.2">
      <c r="A1249" s="191"/>
      <c r="B1249" s="52"/>
      <c r="C1249" s="52"/>
      <c r="D1249" s="52"/>
      <c r="E1249" s="52"/>
      <c r="F1249" s="52"/>
      <c r="G1249" s="180"/>
      <c r="H1249" s="91"/>
      <c r="I1249" s="52"/>
      <c r="J1249" s="52"/>
      <c r="K1249" s="52"/>
      <c r="L1249" s="52"/>
      <c r="M1249" s="52"/>
      <c r="N1249" s="52"/>
      <c r="O1249" s="52"/>
      <c r="P1249" s="52"/>
      <c r="Q1249" s="52"/>
      <c r="R1249" s="180"/>
      <c r="S1249" s="180"/>
      <c r="T1249" s="44"/>
      <c r="U1249" s="86"/>
      <c r="V1249" s="44"/>
      <c r="W1249" s="86"/>
      <c r="X1249" s="46"/>
    </row>
    <row r="1250" spans="1:26" x14ac:dyDescent="0.2">
      <c r="A1250" s="191" t="s">
        <v>51</v>
      </c>
      <c r="B1250" s="91">
        <v>0</v>
      </c>
      <c r="C1250" s="91">
        <v>0</v>
      </c>
      <c r="D1250" s="91">
        <v>0</v>
      </c>
      <c r="E1250" s="91">
        <v>265225</v>
      </c>
      <c r="F1250" s="91">
        <v>0</v>
      </c>
      <c r="G1250" s="180">
        <f>SUM(B1250:F1250)</f>
        <v>265225</v>
      </c>
      <c r="H1250" s="91"/>
      <c r="I1250" s="91">
        <v>0</v>
      </c>
      <c r="J1250" s="253">
        <v>0</v>
      </c>
      <c r="K1250" s="253">
        <v>2009197</v>
      </c>
      <c r="L1250" s="253">
        <v>1067713</v>
      </c>
      <c r="M1250" s="253">
        <v>0</v>
      </c>
      <c r="N1250" s="253">
        <v>0</v>
      </c>
      <c r="O1250" s="253">
        <v>1268127</v>
      </c>
      <c r="P1250" s="253">
        <v>134560</v>
      </c>
      <c r="Q1250" s="91">
        <v>2268591</v>
      </c>
      <c r="R1250" s="180">
        <f>SUM(I1250:Q1250)</f>
        <v>6748188</v>
      </c>
      <c r="S1250" s="180">
        <v>0</v>
      </c>
      <c r="T1250" s="253">
        <v>734289</v>
      </c>
      <c r="U1250" s="86">
        <v>0</v>
      </c>
      <c r="V1250" s="186">
        <v>0</v>
      </c>
      <c r="W1250" s="186">
        <f>R1250+G1250+S1250+T1250</f>
        <v>7747702</v>
      </c>
      <c r="X1250" s="46"/>
      <c r="Z1250" s="219">
        <f>W1250-7747702</f>
        <v>0</v>
      </c>
    </row>
    <row r="1251" spans="1:26" x14ac:dyDescent="0.2">
      <c r="A1251" s="191" t="s">
        <v>42</v>
      </c>
      <c r="B1251" s="91">
        <f t="shared" ref="B1251:G1251" si="586">B1248+B1250-B1201</f>
        <v>0</v>
      </c>
      <c r="C1251" s="91">
        <f t="shared" si="586"/>
        <v>23581888.999999996</v>
      </c>
      <c r="D1251" s="91">
        <f t="shared" si="586"/>
        <v>33679267.999999985</v>
      </c>
      <c r="E1251" s="91">
        <f t="shared" si="586"/>
        <v>9619907.0000000596</v>
      </c>
      <c r="F1251" s="91">
        <f t="shared" si="586"/>
        <v>7.4505805969238281E-9</v>
      </c>
      <c r="G1251" s="180">
        <f t="shared" si="586"/>
        <v>66881064.000000082</v>
      </c>
      <c r="H1251" s="91"/>
      <c r="I1251" s="91">
        <f t="shared" ref="I1251:W1251" si="587">I1248+I1250-I1201</f>
        <v>0</v>
      </c>
      <c r="J1251" s="91">
        <f t="shared" si="587"/>
        <v>0</v>
      </c>
      <c r="K1251" s="91">
        <f t="shared" si="587"/>
        <v>16215196</v>
      </c>
      <c r="L1251" s="91">
        <f t="shared" si="587"/>
        <v>14251362</v>
      </c>
      <c r="M1251" s="91">
        <f t="shared" si="587"/>
        <v>903</v>
      </c>
      <c r="N1251" s="91">
        <f t="shared" si="587"/>
        <v>1459356</v>
      </c>
      <c r="O1251" s="91">
        <f t="shared" si="587"/>
        <v>9502381</v>
      </c>
      <c r="P1251" s="91">
        <f t="shared" si="587"/>
        <v>16349919</v>
      </c>
      <c r="Q1251" s="91">
        <f t="shared" si="587"/>
        <v>21168142</v>
      </c>
      <c r="R1251" s="180">
        <f t="shared" si="587"/>
        <v>78947259</v>
      </c>
      <c r="S1251" s="180">
        <f t="shared" si="587"/>
        <v>-3.7252902984619141E-8</v>
      </c>
      <c r="T1251" s="215">
        <f t="shared" si="587"/>
        <v>26190360</v>
      </c>
      <c r="U1251" s="86">
        <f t="shared" si="587"/>
        <v>4.6566128730773926E-10</v>
      </c>
      <c r="V1251" s="289">
        <f t="shared" si="587"/>
        <v>0</v>
      </c>
      <c r="W1251" s="86">
        <f t="shared" si="587"/>
        <v>172018683.00000021</v>
      </c>
      <c r="X1251" s="46">
        <f>X1248+W1250</f>
        <v>11162832497.937</v>
      </c>
    </row>
    <row r="1252" spans="1:26" x14ac:dyDescent="0.2">
      <c r="A1252" s="191"/>
      <c r="B1252" s="52"/>
      <c r="C1252" s="52"/>
      <c r="D1252" s="52"/>
      <c r="E1252" s="52"/>
      <c r="F1252" s="52"/>
      <c r="G1252" s="180"/>
      <c r="H1252" s="91"/>
      <c r="I1252" s="52"/>
      <c r="J1252" s="52"/>
      <c r="K1252" s="52"/>
      <c r="L1252" s="52"/>
      <c r="M1252" s="52"/>
      <c r="N1252" s="52"/>
      <c r="O1252" s="52"/>
      <c r="P1252" s="52"/>
      <c r="Q1252" s="52"/>
      <c r="R1252" s="180"/>
      <c r="S1252" s="180"/>
      <c r="T1252" s="44"/>
      <c r="U1252" s="86"/>
      <c r="V1252" s="44"/>
      <c r="W1252" s="86"/>
      <c r="X1252" s="46"/>
    </row>
    <row r="1253" spans="1:26" x14ac:dyDescent="0.2">
      <c r="A1253" s="191" t="s">
        <v>52</v>
      </c>
      <c r="B1253" s="91">
        <v>0</v>
      </c>
      <c r="C1253" s="91">
        <v>0</v>
      </c>
      <c r="D1253" s="91">
        <v>0</v>
      </c>
      <c r="E1253" s="91">
        <v>737766</v>
      </c>
      <c r="F1253" s="91">
        <v>0</v>
      </c>
      <c r="G1253" s="180">
        <f>SUM(B1253:F1253)</f>
        <v>737766</v>
      </c>
      <c r="H1253" s="91"/>
      <c r="I1253" s="91">
        <v>0</v>
      </c>
      <c r="J1253" s="253">
        <v>0</v>
      </c>
      <c r="K1253" s="253">
        <v>2003657</v>
      </c>
      <c r="L1253" s="253">
        <v>1872464</v>
      </c>
      <c r="M1253" s="253">
        <v>0</v>
      </c>
      <c r="N1253" s="253">
        <v>0</v>
      </c>
      <c r="O1253" s="253">
        <v>1101544</v>
      </c>
      <c r="P1253" s="253">
        <v>0</v>
      </c>
      <c r="Q1253" s="91">
        <v>2215056</v>
      </c>
      <c r="R1253" s="180">
        <f>SUM(I1253:Q1253)</f>
        <v>7192721</v>
      </c>
      <c r="S1253" s="180">
        <v>0</v>
      </c>
      <c r="T1253" s="253">
        <v>0</v>
      </c>
      <c r="U1253" s="86">
        <v>0</v>
      </c>
      <c r="V1253" s="186">
        <v>0</v>
      </c>
      <c r="W1253" s="186">
        <f>R1253+G1253+S1253+T1253</f>
        <v>7930487</v>
      </c>
      <c r="X1253" s="46"/>
      <c r="Z1253" s="219">
        <f>W1253-7930487</f>
        <v>0</v>
      </c>
    </row>
    <row r="1254" spans="1:26" x14ac:dyDescent="0.2">
      <c r="A1254" s="191" t="s">
        <v>42</v>
      </c>
      <c r="B1254" s="91">
        <f t="shared" ref="B1254:G1254" si="588">B1251+B1253-B1204</f>
        <v>0</v>
      </c>
      <c r="C1254" s="91">
        <f t="shared" si="588"/>
        <v>21184521.999999996</v>
      </c>
      <c r="D1254" s="91">
        <f t="shared" si="588"/>
        <v>30289395.999999985</v>
      </c>
      <c r="E1254" s="91">
        <f t="shared" si="588"/>
        <v>4954278.0000000596</v>
      </c>
      <c r="F1254" s="91">
        <f t="shared" si="588"/>
        <v>7.4505805969238281E-9</v>
      </c>
      <c r="G1254" s="180">
        <f t="shared" si="588"/>
        <v>56428196.000000089</v>
      </c>
      <c r="H1254" s="91"/>
      <c r="I1254" s="91">
        <f t="shared" ref="I1254:W1254" si="589">I1251+I1253-I1204</f>
        <v>0</v>
      </c>
      <c r="J1254" s="91">
        <f t="shared" si="589"/>
        <v>0</v>
      </c>
      <c r="K1254" s="91">
        <f t="shared" si="589"/>
        <v>16530864</v>
      </c>
      <c r="L1254" s="91">
        <f t="shared" si="589"/>
        <v>14506187</v>
      </c>
      <c r="M1254" s="91">
        <f t="shared" si="589"/>
        <v>0</v>
      </c>
      <c r="N1254" s="91">
        <f t="shared" si="589"/>
        <v>1076216</v>
      </c>
      <c r="O1254" s="91">
        <f t="shared" si="589"/>
        <v>8956432</v>
      </c>
      <c r="P1254" s="91">
        <f t="shared" si="589"/>
        <v>12989175</v>
      </c>
      <c r="Q1254" s="91">
        <f t="shared" si="589"/>
        <v>21110476</v>
      </c>
      <c r="R1254" s="180">
        <f t="shared" si="589"/>
        <v>75169350</v>
      </c>
      <c r="S1254" s="180">
        <f t="shared" si="589"/>
        <v>-3.7252902984619141E-8</v>
      </c>
      <c r="T1254" s="215">
        <f t="shared" si="589"/>
        <v>25376413</v>
      </c>
      <c r="U1254" s="86">
        <f t="shared" si="589"/>
        <v>4.6566128730773926E-10</v>
      </c>
      <c r="V1254" s="289">
        <f t="shared" si="589"/>
        <v>0</v>
      </c>
      <c r="W1254" s="86">
        <f t="shared" si="589"/>
        <v>156973959.00000021</v>
      </c>
      <c r="X1254" s="46">
        <f>X1251+W1253</f>
        <v>11170762984.937</v>
      </c>
    </row>
    <row r="1255" spans="1:26" x14ac:dyDescent="0.2">
      <c r="A1255" s="191"/>
      <c r="B1255" s="52"/>
      <c r="C1255" s="52"/>
      <c r="D1255" s="52"/>
      <c r="E1255" s="52"/>
      <c r="F1255" s="52"/>
      <c r="G1255" s="180"/>
      <c r="H1255" s="91"/>
      <c r="I1255" s="52"/>
      <c r="J1255" s="52"/>
      <c r="K1255" s="52"/>
      <c r="L1255" s="52"/>
      <c r="M1255" s="52"/>
      <c r="N1255" s="52"/>
      <c r="O1255" s="52"/>
      <c r="P1255" s="52"/>
      <c r="Q1255" s="52"/>
      <c r="R1255" s="180"/>
      <c r="S1255" s="180"/>
      <c r="T1255" s="44"/>
      <c r="U1255" s="86"/>
      <c r="V1255" s="44"/>
      <c r="W1255" s="86"/>
      <c r="X1255" s="46"/>
    </row>
    <row r="1256" spans="1:26" x14ac:dyDescent="0.2">
      <c r="A1256" s="245" t="s">
        <v>53</v>
      </c>
      <c r="B1256" s="91">
        <v>0</v>
      </c>
      <c r="C1256" s="91">
        <v>109950</v>
      </c>
      <c r="D1256" s="91">
        <v>0</v>
      </c>
      <c r="E1256" s="91">
        <v>0</v>
      </c>
      <c r="F1256" s="91">
        <v>0</v>
      </c>
      <c r="G1256" s="180">
        <f>SUM(B1256:F1256)</f>
        <v>109950</v>
      </c>
      <c r="H1256" s="91"/>
      <c r="I1256" s="91">
        <v>0</v>
      </c>
      <c r="J1256" s="91">
        <v>0</v>
      </c>
      <c r="K1256" s="253">
        <v>1640277</v>
      </c>
      <c r="L1256" s="253">
        <v>1637912</v>
      </c>
      <c r="M1256" s="91">
        <v>0</v>
      </c>
      <c r="N1256" s="91">
        <v>0</v>
      </c>
      <c r="O1256" s="91">
        <v>0</v>
      </c>
      <c r="P1256" s="253">
        <v>2063563</v>
      </c>
      <c r="Q1256" s="91">
        <v>49479</v>
      </c>
      <c r="R1256" s="180">
        <f>SUM(I1256:Q1256)</f>
        <v>5391231</v>
      </c>
      <c r="S1256" s="180">
        <v>0</v>
      </c>
      <c r="T1256" s="91">
        <v>0</v>
      </c>
      <c r="U1256" s="86">
        <v>0</v>
      </c>
      <c r="V1256" s="186">
        <v>0</v>
      </c>
      <c r="W1256" s="186">
        <f>R1256+G1256+S1256+T1256</f>
        <v>5501181</v>
      </c>
      <c r="X1256" s="46"/>
      <c r="Z1256" s="219">
        <f>W1256-5501181</f>
        <v>0</v>
      </c>
    </row>
    <row r="1257" spans="1:26" ht="13.5" thickBot="1" x14ac:dyDescent="0.25">
      <c r="A1257" s="192" t="s">
        <v>42</v>
      </c>
      <c r="B1257" s="187">
        <f t="shared" ref="B1257:G1257" si="590">B1254+B1256-B1207</f>
        <v>0</v>
      </c>
      <c r="C1257" s="187">
        <f t="shared" si="590"/>
        <v>18451081.999999996</v>
      </c>
      <c r="D1257" s="187">
        <f t="shared" si="590"/>
        <v>24917571.999999985</v>
      </c>
      <c r="E1257" s="187">
        <f t="shared" si="590"/>
        <v>2933241.0000000596</v>
      </c>
      <c r="F1257" s="187">
        <f t="shared" si="590"/>
        <v>7.4505805969238281E-9</v>
      </c>
      <c r="G1257" s="188">
        <f t="shared" si="590"/>
        <v>46301895.000000089</v>
      </c>
      <c r="H1257" s="187"/>
      <c r="I1257" s="187">
        <f t="shared" ref="I1257:W1257" si="591">I1254+I1256-I1207</f>
        <v>0</v>
      </c>
      <c r="J1257" s="187">
        <f t="shared" si="591"/>
        <v>0</v>
      </c>
      <c r="K1257" s="187">
        <f t="shared" si="591"/>
        <v>16143860</v>
      </c>
      <c r="L1257" s="187">
        <f t="shared" si="591"/>
        <v>14259061</v>
      </c>
      <c r="M1257" s="187">
        <f t="shared" si="591"/>
        <v>0</v>
      </c>
      <c r="N1257" s="187">
        <f t="shared" si="591"/>
        <v>1002672</v>
      </c>
      <c r="O1257" s="187">
        <f t="shared" si="591"/>
        <v>7784365</v>
      </c>
      <c r="P1257" s="187">
        <f t="shared" si="591"/>
        <v>11650983</v>
      </c>
      <c r="Q1257" s="187">
        <f t="shared" si="591"/>
        <v>20471050</v>
      </c>
      <c r="R1257" s="188">
        <f t="shared" si="591"/>
        <v>71311991</v>
      </c>
      <c r="S1257" s="188">
        <f t="shared" si="591"/>
        <v>-3.7252902984619141E-8</v>
      </c>
      <c r="T1257" s="262">
        <f t="shared" si="591"/>
        <v>25143778</v>
      </c>
      <c r="U1257" s="224">
        <f t="shared" si="591"/>
        <v>4.6566128730773926E-10</v>
      </c>
      <c r="V1257" s="290">
        <f t="shared" si="591"/>
        <v>0</v>
      </c>
      <c r="W1257" s="224">
        <f t="shared" si="591"/>
        <v>142757664.00000021</v>
      </c>
      <c r="X1257" s="190">
        <f>X1254+W1256</f>
        <v>11176264165.937</v>
      </c>
    </row>
    <row r="1258" spans="1:26" x14ac:dyDescent="0.2">
      <c r="A1258" s="211" t="s">
        <v>226</v>
      </c>
      <c r="M1258" t="s">
        <v>251</v>
      </c>
      <c r="N1258" t="s">
        <v>225</v>
      </c>
      <c r="O1258" t="s">
        <v>243</v>
      </c>
      <c r="P1258" t="s">
        <v>242</v>
      </c>
    </row>
    <row r="1259" spans="1:26" x14ac:dyDescent="0.2">
      <c r="A1259" s="211" t="s">
        <v>142</v>
      </c>
      <c r="M1259" s="303">
        <f>J1257+K1257+L1257+P1257+T1257</f>
        <v>67197682</v>
      </c>
      <c r="N1259" s="303">
        <f>M1257+N1257+O1257+Q1257</f>
        <v>29258087</v>
      </c>
      <c r="O1259" s="303">
        <f>S1257-U1257</f>
        <v>-3.771856427192688E-8</v>
      </c>
      <c r="P1259" s="303">
        <f>G1257+I1257+M1259+N1259+O1259</f>
        <v>142757664.00000006</v>
      </c>
      <c r="S1259" s="282" t="s">
        <v>248</v>
      </c>
      <c r="T1259" s="219"/>
    </row>
    <row r="1260" spans="1:26" x14ac:dyDescent="0.2">
      <c r="A1260" s="211" t="s">
        <v>182</v>
      </c>
      <c r="S1260" t="s">
        <v>122</v>
      </c>
    </row>
    <row r="1261" spans="1:26" x14ac:dyDescent="0.2">
      <c r="A1261" s="211"/>
      <c r="B1261" s="243"/>
      <c r="C1261" s="280"/>
      <c r="D1261" s="243"/>
      <c r="I1261" s="283">
        <f>I1192+I1195+I1198+I1201+I1204+I1207+I1223+I1226+I1229+I1232+I1235+I1238</f>
        <v>0</v>
      </c>
      <c r="J1261" s="283">
        <f t="shared" ref="J1261:Q1261" si="592">J1192+J1195+J1198+J1201+J1204+J1207+J1223+J1226+J1229+J1232+J1235+J1238</f>
        <v>0</v>
      </c>
      <c r="K1261" s="283">
        <f t="shared" si="592"/>
        <v>17142953</v>
      </c>
      <c r="L1261" s="283">
        <f t="shared" si="592"/>
        <v>16351921</v>
      </c>
      <c r="M1261" s="283">
        <f t="shared" si="592"/>
        <v>903</v>
      </c>
      <c r="N1261" s="283">
        <f t="shared" si="592"/>
        <v>1946949</v>
      </c>
      <c r="O1261" s="283">
        <f t="shared" si="592"/>
        <v>13182538</v>
      </c>
      <c r="P1261" s="283">
        <f t="shared" si="592"/>
        <v>22664551</v>
      </c>
      <c r="Q1261" s="283">
        <f t="shared" si="592"/>
        <v>14434686</v>
      </c>
    </row>
    <row r="1262" spans="1:26" x14ac:dyDescent="0.2">
      <c r="E1262" s="284"/>
      <c r="F1262" s="285" t="s">
        <v>230</v>
      </c>
    </row>
    <row r="1264" spans="1:26" ht="27" x14ac:dyDescent="0.35">
      <c r="A1264" s="126" t="s">
        <v>250</v>
      </c>
      <c r="B1264" s="121"/>
      <c r="C1264" s="121"/>
      <c r="D1264" s="122"/>
      <c r="E1264" s="121"/>
      <c r="F1264" s="121"/>
      <c r="G1264" s="121"/>
      <c r="H1264" s="121"/>
      <c r="I1264" s="121"/>
      <c r="J1264" s="121"/>
      <c r="K1264" s="121"/>
      <c r="L1264" s="123"/>
      <c r="M1264" s="124"/>
      <c r="N1264" s="121"/>
      <c r="O1264" s="121"/>
      <c r="P1264" s="121"/>
      <c r="Q1264" s="121"/>
      <c r="R1264" s="121"/>
      <c r="S1264" s="121"/>
      <c r="T1264" s="121"/>
      <c r="U1264" s="121"/>
      <c r="V1264" s="121"/>
      <c r="W1264" s="125"/>
      <c r="X1264" s="121"/>
    </row>
    <row r="1265" spans="1:26" x14ac:dyDescent="0.2">
      <c r="A1265" s="52"/>
      <c r="B1265" s="52"/>
      <c r="C1265" s="21"/>
      <c r="D1265" s="115"/>
      <c r="E1265" s="52"/>
      <c r="F1265" s="115"/>
      <c r="G1265" s="248" t="s">
        <v>60</v>
      </c>
      <c r="H1265" s="115"/>
      <c r="I1265" s="115"/>
      <c r="J1265" s="115"/>
      <c r="K1265" s="52"/>
      <c r="L1265" s="115"/>
      <c r="M1265" s="52"/>
      <c r="N1265" s="52"/>
      <c r="O1265" s="52"/>
      <c r="P1265" s="52"/>
      <c r="Q1265" s="52"/>
      <c r="R1265" s="52"/>
      <c r="S1265" s="52"/>
      <c r="T1265" s="52"/>
      <c r="U1265" s="52"/>
      <c r="V1265" s="52"/>
      <c r="W1265" s="91"/>
      <c r="X1265" s="91"/>
    </row>
    <row r="1266" spans="1:26" ht="27.75" thickBot="1" x14ac:dyDescent="0.4">
      <c r="A1266" s="126" t="s">
        <v>107</v>
      </c>
      <c r="B1266" s="121"/>
      <c r="C1266" s="121"/>
      <c r="D1266" s="121"/>
      <c r="E1266" s="121"/>
      <c r="F1266" s="122"/>
      <c r="G1266" s="121"/>
      <c r="H1266" s="121"/>
      <c r="I1266" s="121"/>
      <c r="J1266" s="121"/>
      <c r="K1266" s="121"/>
      <c r="L1266" s="121"/>
      <c r="M1266" s="121"/>
      <c r="N1266" s="121"/>
      <c r="O1266" s="121"/>
      <c r="P1266" s="121"/>
      <c r="Q1266" s="121"/>
      <c r="R1266" s="121"/>
      <c r="S1266" s="121"/>
      <c r="T1266" s="121"/>
      <c r="U1266" s="121"/>
      <c r="V1266" s="121"/>
      <c r="W1266" s="125"/>
      <c r="X1266" s="125"/>
    </row>
    <row r="1267" spans="1:26" x14ac:dyDescent="0.2">
      <c r="A1267" s="174"/>
      <c r="B1267" s="173"/>
      <c r="C1267" s="173"/>
      <c r="D1267" s="173"/>
      <c r="E1267" s="173"/>
      <c r="F1267" s="173"/>
      <c r="G1267" s="173"/>
      <c r="H1267" s="173"/>
      <c r="I1267" s="173"/>
      <c r="J1267" s="173"/>
      <c r="K1267" s="173"/>
      <c r="L1267" s="173"/>
      <c r="M1267" s="173"/>
      <c r="N1267" s="173"/>
      <c r="O1267" s="173"/>
      <c r="P1267" s="173"/>
      <c r="Q1267" s="173"/>
      <c r="R1267" s="173"/>
      <c r="S1267" s="173"/>
      <c r="T1267" s="173"/>
      <c r="U1267" s="173"/>
      <c r="V1267" s="173"/>
      <c r="W1267" s="173"/>
      <c r="X1267" s="181"/>
    </row>
    <row r="1268" spans="1:26" ht="13.5" thickBot="1" x14ac:dyDescent="0.25">
      <c r="A1268" s="176"/>
      <c r="B1268" s="179" t="s">
        <v>112</v>
      </c>
      <c r="C1268" s="177"/>
      <c r="D1268" s="177"/>
      <c r="E1268" s="177"/>
      <c r="F1268" s="177"/>
      <c r="G1268" s="177"/>
      <c r="H1268" s="177"/>
      <c r="I1268" s="177"/>
      <c r="J1268" s="177"/>
      <c r="K1268" s="177"/>
      <c r="L1268" s="179" t="s">
        <v>113</v>
      </c>
      <c r="M1268" s="177"/>
      <c r="N1268" s="177"/>
      <c r="O1268" s="177"/>
      <c r="P1268" s="177"/>
      <c r="Q1268" s="304" t="s">
        <v>252</v>
      </c>
      <c r="R1268" s="177"/>
      <c r="S1268" s="177"/>
      <c r="T1268" s="177"/>
      <c r="U1268" s="177"/>
      <c r="V1268" s="177"/>
      <c r="W1268" s="177"/>
      <c r="X1268" s="182"/>
    </row>
    <row r="1269" spans="1:26" x14ac:dyDescent="0.2">
      <c r="A1269" s="175"/>
      <c r="B1269" s="155" t="s">
        <v>11</v>
      </c>
      <c r="C1269" s="155" t="s">
        <v>12</v>
      </c>
      <c r="D1269" s="155" t="s">
        <v>13</v>
      </c>
      <c r="E1269" s="155" t="s">
        <v>14</v>
      </c>
      <c r="F1269" s="155" t="s">
        <v>15</v>
      </c>
      <c r="G1269" s="193" t="s">
        <v>16</v>
      </c>
      <c r="H1269" s="21"/>
      <c r="I1269" s="155" t="s">
        <v>17</v>
      </c>
      <c r="J1269" s="21"/>
      <c r="K1269" s="21"/>
      <c r="L1269" s="21"/>
      <c r="M1269" s="21"/>
      <c r="N1269" s="155" t="s">
        <v>18</v>
      </c>
      <c r="O1269" s="155" t="s">
        <v>19</v>
      </c>
      <c r="P1269" s="155" t="s">
        <v>20</v>
      </c>
      <c r="Q1269" s="155" t="s">
        <v>21</v>
      </c>
      <c r="R1269" s="193" t="s">
        <v>16</v>
      </c>
      <c r="S1269" s="193" t="s">
        <v>114</v>
      </c>
      <c r="T1269" s="209" t="s">
        <v>127</v>
      </c>
      <c r="U1269" s="207" t="s">
        <v>138</v>
      </c>
      <c r="V1269" s="221" t="s">
        <v>136</v>
      </c>
      <c r="W1269" s="155" t="s">
        <v>7</v>
      </c>
      <c r="X1269" s="194" t="s">
        <v>70</v>
      </c>
    </row>
    <row r="1270" spans="1:26" ht="13.5" thickBot="1" x14ac:dyDescent="0.25">
      <c r="A1270" s="176"/>
      <c r="B1270" s="179" t="s">
        <v>23</v>
      </c>
      <c r="C1270" s="179" t="s">
        <v>24</v>
      </c>
      <c r="D1270" s="179" t="s">
        <v>25</v>
      </c>
      <c r="E1270" s="179" t="s">
        <v>26</v>
      </c>
      <c r="F1270" s="179" t="s">
        <v>27</v>
      </c>
      <c r="G1270" s="195" t="s">
        <v>28</v>
      </c>
      <c r="H1270" s="179"/>
      <c r="I1270" s="179" t="s">
        <v>29</v>
      </c>
      <c r="J1270" s="179" t="s">
        <v>30</v>
      </c>
      <c r="K1270" s="179" t="s">
        <v>31</v>
      </c>
      <c r="L1270" s="179" t="s">
        <v>32</v>
      </c>
      <c r="M1270" s="179" t="s">
        <v>33</v>
      </c>
      <c r="N1270" s="179" t="s">
        <v>34</v>
      </c>
      <c r="O1270" s="179" t="s">
        <v>35</v>
      </c>
      <c r="P1270" s="179" t="s">
        <v>36</v>
      </c>
      <c r="Q1270" s="179" t="s">
        <v>37</v>
      </c>
      <c r="R1270" s="195" t="s">
        <v>28</v>
      </c>
      <c r="S1270" s="195" t="s">
        <v>129</v>
      </c>
      <c r="T1270" s="210" t="s">
        <v>130</v>
      </c>
      <c r="U1270" s="179" t="s">
        <v>139</v>
      </c>
      <c r="V1270" s="222" t="s">
        <v>143</v>
      </c>
      <c r="W1270" s="179" t="s">
        <v>181</v>
      </c>
      <c r="X1270" s="196" t="s">
        <v>71</v>
      </c>
    </row>
    <row r="1271" spans="1:26" x14ac:dyDescent="0.2">
      <c r="A1271" s="175"/>
      <c r="B1271" s="117"/>
      <c r="C1271" s="117"/>
      <c r="D1271" s="117"/>
      <c r="E1271" s="117"/>
      <c r="F1271" s="117"/>
      <c r="G1271" s="178"/>
      <c r="H1271" s="52"/>
      <c r="I1271" s="117"/>
      <c r="J1271" s="117"/>
      <c r="K1271" s="117"/>
      <c r="L1271" s="117"/>
      <c r="M1271" s="117"/>
      <c r="N1271" s="117"/>
      <c r="O1271" s="117"/>
      <c r="P1271" s="117"/>
      <c r="Q1271" s="117"/>
      <c r="R1271" s="178"/>
      <c r="S1271" s="208"/>
      <c r="T1271" s="185"/>
      <c r="U1271" s="185"/>
      <c r="V1271" s="185"/>
      <c r="W1271" s="185"/>
      <c r="X1271" s="183"/>
    </row>
    <row r="1272" spans="1:26" x14ac:dyDescent="0.2">
      <c r="A1272" s="191" t="s">
        <v>41</v>
      </c>
      <c r="B1272" s="91">
        <v>0</v>
      </c>
      <c r="C1272" s="91">
        <v>2224756</v>
      </c>
      <c r="D1272" s="91">
        <v>0</v>
      </c>
      <c r="E1272" s="91">
        <v>1167402</v>
      </c>
      <c r="F1272" s="91">
        <v>0</v>
      </c>
      <c r="G1272" s="180">
        <f>SUM(B1272:F1272)</f>
        <v>3392158</v>
      </c>
      <c r="H1272" s="91"/>
      <c r="I1272" s="91">
        <v>0</v>
      </c>
      <c r="J1272" s="91">
        <v>0</v>
      </c>
      <c r="K1272" s="253">
        <v>1966041</v>
      </c>
      <c r="L1272" s="253">
        <v>1907649</v>
      </c>
      <c r="M1272" s="91">
        <v>0</v>
      </c>
      <c r="N1272" s="91">
        <v>0</v>
      </c>
      <c r="O1272" s="91">
        <v>0</v>
      </c>
      <c r="P1272" s="253">
        <v>2700952</v>
      </c>
      <c r="Q1272" s="91">
        <v>0</v>
      </c>
      <c r="R1272" s="180">
        <f>SUM(I1272:Q1272)</f>
        <v>6574642</v>
      </c>
      <c r="S1272" s="180">
        <v>0</v>
      </c>
      <c r="T1272" s="91">
        <v>0</v>
      </c>
      <c r="U1272" s="86">
        <v>0</v>
      </c>
      <c r="V1272" s="186">
        <v>0</v>
      </c>
      <c r="W1272" s="186">
        <f>R1272+G1272+S1272+T1272</f>
        <v>9966800</v>
      </c>
      <c r="X1272" s="46"/>
      <c r="Z1272" s="219">
        <f>W1272-9966800</f>
        <v>0</v>
      </c>
    </row>
    <row r="1273" spans="1:26" x14ac:dyDescent="0.2">
      <c r="A1273" s="191" t="s">
        <v>42</v>
      </c>
      <c r="B1273" s="91">
        <f t="shared" ref="B1273:G1273" si="593">B1257+B1272-B1223</f>
        <v>0</v>
      </c>
      <c r="C1273" s="91">
        <f t="shared" si="593"/>
        <v>17272757.999999996</v>
      </c>
      <c r="D1273" s="91">
        <f t="shared" si="593"/>
        <v>19411808.999999985</v>
      </c>
      <c r="E1273" s="91">
        <f t="shared" si="593"/>
        <v>4100643.0000000596</v>
      </c>
      <c r="F1273" s="91">
        <f t="shared" si="593"/>
        <v>7.4505805969238281E-9</v>
      </c>
      <c r="G1273" s="180">
        <f t="shared" si="593"/>
        <v>40785210.000000089</v>
      </c>
      <c r="H1273" s="91"/>
      <c r="I1273" s="91">
        <f t="shared" ref="I1273:W1273" si="594">I1257+I1272-I1223</f>
        <v>0</v>
      </c>
      <c r="J1273" s="91">
        <f t="shared" si="594"/>
        <v>0</v>
      </c>
      <c r="K1273" s="91">
        <f t="shared" si="594"/>
        <v>16052328</v>
      </c>
      <c r="L1273" s="91">
        <f t="shared" si="594"/>
        <v>14230508</v>
      </c>
      <c r="M1273" s="91">
        <f t="shared" si="594"/>
        <v>0</v>
      </c>
      <c r="N1273" s="91">
        <f t="shared" si="594"/>
        <v>678541</v>
      </c>
      <c r="O1273" s="91">
        <f t="shared" si="594"/>
        <v>6132502</v>
      </c>
      <c r="P1273" s="91">
        <f t="shared" si="594"/>
        <v>11152717</v>
      </c>
      <c r="Q1273" s="91">
        <f t="shared" si="594"/>
        <v>18790496</v>
      </c>
      <c r="R1273" s="180">
        <f t="shared" si="594"/>
        <v>67037092</v>
      </c>
      <c r="S1273" s="180">
        <f t="shared" si="594"/>
        <v>-3.7252902984619141E-8</v>
      </c>
      <c r="T1273" s="215">
        <f t="shared" si="594"/>
        <v>25143778</v>
      </c>
      <c r="U1273" s="86">
        <f t="shared" si="594"/>
        <v>4.6566128730773926E-10</v>
      </c>
      <c r="V1273" s="86">
        <f t="shared" si="594"/>
        <v>0</v>
      </c>
      <c r="W1273" s="86">
        <f t="shared" si="594"/>
        <v>132966080.00000021</v>
      </c>
      <c r="X1273" s="46">
        <f>X1257+W1272</f>
        <v>11186230965.937</v>
      </c>
    </row>
    <row r="1274" spans="1:26" x14ac:dyDescent="0.2">
      <c r="A1274" s="191"/>
      <c r="B1274" s="52"/>
      <c r="C1274" s="52"/>
      <c r="D1274" s="52"/>
      <c r="E1274" s="52"/>
      <c r="F1274" s="52"/>
      <c r="G1274" s="180"/>
      <c r="H1274" s="91"/>
      <c r="I1274" s="52"/>
      <c r="J1274" s="52"/>
      <c r="K1274" s="52"/>
      <c r="L1274" s="52"/>
      <c r="M1274" s="52"/>
      <c r="N1274" s="52"/>
      <c r="O1274" s="52"/>
      <c r="P1274" s="52"/>
      <c r="Q1274" s="52"/>
      <c r="R1274" s="180"/>
      <c r="S1274" s="178"/>
      <c r="T1274" s="218"/>
      <c r="U1274" s="217"/>
      <c r="V1274" s="185"/>
      <c r="W1274" s="186"/>
      <c r="X1274" s="46"/>
    </row>
    <row r="1275" spans="1:26" x14ac:dyDescent="0.2">
      <c r="A1275" s="191" t="s">
        <v>43</v>
      </c>
      <c r="B1275" s="91">
        <v>0</v>
      </c>
      <c r="C1275" s="91">
        <v>2269195</v>
      </c>
      <c r="D1275" s="91">
        <v>0</v>
      </c>
      <c r="E1275" s="91">
        <v>3297159</v>
      </c>
      <c r="F1275" s="91">
        <v>0</v>
      </c>
      <c r="G1275" s="180">
        <f>SUM(B1275:F1275)</f>
        <v>5566354</v>
      </c>
      <c r="H1275" s="91"/>
      <c r="I1275" s="91">
        <v>0</v>
      </c>
      <c r="J1275" s="253">
        <v>0</v>
      </c>
      <c r="K1275" s="253">
        <v>1809160</v>
      </c>
      <c r="L1275" s="253">
        <v>1202147</v>
      </c>
      <c r="M1275" s="253">
        <v>0</v>
      </c>
      <c r="N1275" s="253">
        <v>0</v>
      </c>
      <c r="O1275" s="253">
        <v>0</v>
      </c>
      <c r="P1275" s="253">
        <v>395778</v>
      </c>
      <c r="Q1275" s="91">
        <v>609556</v>
      </c>
      <c r="R1275" s="180">
        <f>SUM(I1275:Q1275)</f>
        <v>4016641</v>
      </c>
      <c r="S1275" s="180">
        <v>0</v>
      </c>
      <c r="T1275" s="253">
        <v>0</v>
      </c>
      <c r="U1275" s="86">
        <v>0</v>
      </c>
      <c r="V1275" s="186">
        <v>0</v>
      </c>
      <c r="W1275" s="186">
        <f>R1275+G1275+S1275+T1275</f>
        <v>9582995</v>
      </c>
      <c r="X1275" s="46"/>
      <c r="Z1275" s="219">
        <f>W1275-9582995</f>
        <v>0</v>
      </c>
    </row>
    <row r="1276" spans="1:26" x14ac:dyDescent="0.2">
      <c r="A1276" s="191" t="s">
        <v>42</v>
      </c>
      <c r="B1276" s="91">
        <f t="shared" ref="B1276:G1276" si="595">B1273+B1275-B1226</f>
        <v>0</v>
      </c>
      <c r="C1276" s="91">
        <f t="shared" si="595"/>
        <v>16532579.999999996</v>
      </c>
      <c r="D1276" s="91">
        <f t="shared" si="595"/>
        <v>15224462.999999985</v>
      </c>
      <c r="E1276" s="91">
        <f t="shared" si="595"/>
        <v>6535268.0000000596</v>
      </c>
      <c r="F1276" s="91">
        <f t="shared" si="595"/>
        <v>7.4505805969238281E-9</v>
      </c>
      <c r="G1276" s="180">
        <f t="shared" si="595"/>
        <v>38292311.000000089</v>
      </c>
      <c r="H1276" s="91"/>
      <c r="I1276" s="91">
        <f t="shared" ref="I1276:W1276" si="596">I1273+I1275-I1226</f>
        <v>0</v>
      </c>
      <c r="J1276" s="91">
        <f t="shared" si="596"/>
        <v>0</v>
      </c>
      <c r="K1276" s="91">
        <f t="shared" si="596"/>
        <v>16033700</v>
      </c>
      <c r="L1276" s="91">
        <f t="shared" si="596"/>
        <v>13720350</v>
      </c>
      <c r="M1276" s="91">
        <f t="shared" si="596"/>
        <v>0</v>
      </c>
      <c r="N1276" s="91">
        <f t="shared" si="596"/>
        <v>398552</v>
      </c>
      <c r="O1276" s="91">
        <f t="shared" si="596"/>
        <v>5573063</v>
      </c>
      <c r="P1276" s="91">
        <f t="shared" si="596"/>
        <v>8625967</v>
      </c>
      <c r="Q1276" s="91">
        <f t="shared" si="596"/>
        <v>17528858</v>
      </c>
      <c r="R1276" s="180">
        <f t="shared" si="596"/>
        <v>61880490</v>
      </c>
      <c r="S1276" s="180">
        <f t="shared" si="596"/>
        <v>-3.7252902984619141E-8</v>
      </c>
      <c r="T1276" s="215">
        <f t="shared" si="596"/>
        <v>24790060</v>
      </c>
      <c r="U1276" s="86">
        <f t="shared" si="596"/>
        <v>4.6566128730773926E-10</v>
      </c>
      <c r="V1276" s="86">
        <f t="shared" si="596"/>
        <v>0</v>
      </c>
      <c r="W1276" s="186">
        <f t="shared" si="596"/>
        <v>124962861.00000021</v>
      </c>
      <c r="X1276" s="46">
        <f>X1273+W1275</f>
        <v>11195813960.937</v>
      </c>
    </row>
    <row r="1277" spans="1:26" x14ac:dyDescent="0.2">
      <c r="A1277" s="191"/>
      <c r="B1277" s="91"/>
      <c r="C1277" s="91"/>
      <c r="D1277" s="91"/>
      <c r="E1277" s="91"/>
      <c r="F1277" s="91"/>
      <c r="G1277" s="180"/>
      <c r="H1277" s="91"/>
      <c r="I1277" s="91"/>
      <c r="J1277" s="91"/>
      <c r="K1277" s="91"/>
      <c r="L1277" s="91"/>
      <c r="M1277" s="91"/>
      <c r="N1277" s="91"/>
      <c r="O1277" s="91"/>
      <c r="P1277" s="91"/>
      <c r="Q1277" s="91"/>
      <c r="R1277" s="180"/>
      <c r="S1277" s="178"/>
      <c r="T1277" s="218"/>
      <c r="U1277" s="217"/>
      <c r="V1277" s="185"/>
      <c r="W1277" s="186"/>
      <c r="X1277" s="46"/>
    </row>
    <row r="1278" spans="1:26" x14ac:dyDescent="0.2">
      <c r="A1278" s="191" t="s">
        <v>44</v>
      </c>
      <c r="B1278" s="91">
        <v>0</v>
      </c>
      <c r="C1278" s="91">
        <v>2012081</v>
      </c>
      <c r="D1278" s="91">
        <v>0</v>
      </c>
      <c r="E1278" s="91">
        <v>5485245</v>
      </c>
      <c r="F1278" s="91">
        <v>0</v>
      </c>
      <c r="G1278" s="180">
        <f>SUM(B1278:F1278)</f>
        <v>7497326</v>
      </c>
      <c r="H1278" s="91"/>
      <c r="I1278" s="91">
        <v>0</v>
      </c>
      <c r="J1278" s="253">
        <v>0</v>
      </c>
      <c r="K1278" s="253">
        <v>1944721</v>
      </c>
      <c r="L1278" s="253">
        <v>440814</v>
      </c>
      <c r="M1278" s="253">
        <v>0</v>
      </c>
      <c r="N1278" s="253">
        <v>0</v>
      </c>
      <c r="O1278" s="253">
        <v>0</v>
      </c>
      <c r="P1278" s="253">
        <v>774463</v>
      </c>
      <c r="Q1278" s="91">
        <v>972733</v>
      </c>
      <c r="R1278" s="180">
        <f>SUM(I1278:Q1278)</f>
        <v>4132731</v>
      </c>
      <c r="S1278" s="180">
        <v>0</v>
      </c>
      <c r="T1278" s="253">
        <v>390103</v>
      </c>
      <c r="U1278" s="86">
        <v>0</v>
      </c>
      <c r="V1278" s="186">
        <v>0</v>
      </c>
      <c r="W1278" s="186">
        <f>R1278+G1278+S1278+T1278</f>
        <v>12020160</v>
      </c>
      <c r="X1278" s="46"/>
      <c r="Z1278" s="219">
        <f>W1278-12020158</f>
        <v>2</v>
      </c>
    </row>
    <row r="1279" spans="1:26" x14ac:dyDescent="0.2">
      <c r="A1279" s="191" t="s">
        <v>42</v>
      </c>
      <c r="B1279" s="91">
        <f t="shared" ref="B1279:G1279" si="597">B1276+B1278-B1229</f>
        <v>0</v>
      </c>
      <c r="C1279" s="91">
        <f t="shared" si="597"/>
        <v>15655462.999999996</v>
      </c>
      <c r="D1279" s="91">
        <f t="shared" si="597"/>
        <v>10547349.999999985</v>
      </c>
      <c r="E1279" s="91">
        <f t="shared" si="597"/>
        <v>11041618.00000006</v>
      </c>
      <c r="F1279" s="91">
        <f t="shared" si="597"/>
        <v>7.4505805969238281E-9</v>
      </c>
      <c r="G1279" s="180">
        <f t="shared" si="597"/>
        <v>37244431.000000089</v>
      </c>
      <c r="H1279" s="91"/>
      <c r="I1279" s="91">
        <f t="shared" ref="I1279:W1279" si="598">I1276+I1278-I1229</f>
        <v>0</v>
      </c>
      <c r="J1279" s="91">
        <f t="shared" si="598"/>
        <v>0</v>
      </c>
      <c r="K1279" s="91">
        <f t="shared" si="598"/>
        <v>16623187</v>
      </c>
      <c r="L1279" s="91">
        <f t="shared" si="598"/>
        <v>12866020</v>
      </c>
      <c r="M1279" s="91">
        <f t="shared" si="598"/>
        <v>0</v>
      </c>
      <c r="N1279" s="91">
        <f t="shared" si="598"/>
        <v>357141</v>
      </c>
      <c r="O1279" s="91">
        <f t="shared" si="598"/>
        <v>4527955</v>
      </c>
      <c r="P1279" s="91">
        <f t="shared" si="598"/>
        <v>7805731</v>
      </c>
      <c r="Q1279" s="91">
        <f t="shared" si="598"/>
        <v>17500596</v>
      </c>
      <c r="R1279" s="180">
        <f t="shared" si="598"/>
        <v>59680630</v>
      </c>
      <c r="S1279" s="180">
        <f t="shared" si="598"/>
        <v>-3.7252902984619141E-8</v>
      </c>
      <c r="T1279" s="215">
        <f t="shared" si="598"/>
        <v>23349838</v>
      </c>
      <c r="U1279" s="86">
        <f t="shared" si="598"/>
        <v>4.6566128730773926E-10</v>
      </c>
      <c r="V1279" s="86">
        <f t="shared" si="598"/>
        <v>0</v>
      </c>
      <c r="W1279" s="186">
        <f t="shared" si="598"/>
        <v>120274899.00000021</v>
      </c>
      <c r="X1279" s="46">
        <f>X1276+W1278</f>
        <v>11207834120.937</v>
      </c>
    </row>
    <row r="1280" spans="1:26" x14ac:dyDescent="0.2">
      <c r="A1280" s="191"/>
      <c r="B1280" s="52"/>
      <c r="C1280" s="52"/>
      <c r="D1280" s="52"/>
      <c r="E1280" s="52"/>
      <c r="F1280" s="52"/>
      <c r="G1280" s="180"/>
      <c r="H1280" s="91"/>
      <c r="I1280" s="52"/>
      <c r="J1280" s="52"/>
      <c r="K1280" s="52"/>
      <c r="L1280" s="52"/>
      <c r="M1280" s="52"/>
      <c r="N1280" s="52"/>
      <c r="O1280" s="52"/>
      <c r="P1280" s="52"/>
      <c r="Q1280" s="52"/>
      <c r="R1280" s="180"/>
      <c r="S1280" s="178"/>
      <c r="T1280" s="218"/>
      <c r="U1280" s="217"/>
      <c r="V1280" s="185"/>
      <c r="W1280" s="186"/>
      <c r="X1280" s="46"/>
    </row>
    <row r="1281" spans="1:26" x14ac:dyDescent="0.2">
      <c r="A1281" s="191" t="s">
        <v>45</v>
      </c>
      <c r="B1281" s="91">
        <v>0</v>
      </c>
      <c r="C1281" s="91">
        <v>1791653</v>
      </c>
      <c r="D1281" s="91">
        <v>0</v>
      </c>
      <c r="E1281" s="91">
        <v>3166556</v>
      </c>
      <c r="F1281" s="91">
        <v>0</v>
      </c>
      <c r="G1281" s="180">
        <f>SUM(B1281:F1281)</f>
        <v>4958209</v>
      </c>
      <c r="H1281" s="91"/>
      <c r="I1281" s="91">
        <v>0</v>
      </c>
      <c r="J1281" s="253">
        <v>0</v>
      </c>
      <c r="K1281" s="253">
        <v>1920685</v>
      </c>
      <c r="L1281" s="253">
        <v>1099028</v>
      </c>
      <c r="M1281" s="253">
        <v>0</v>
      </c>
      <c r="N1281" s="253">
        <v>0</v>
      </c>
      <c r="O1281" s="253">
        <v>893846</v>
      </c>
      <c r="P1281" s="253">
        <v>205515</v>
      </c>
      <c r="Q1281" s="91">
        <v>1317648</v>
      </c>
      <c r="R1281" s="180">
        <f>SUM(I1281:Q1281)</f>
        <v>5436722</v>
      </c>
      <c r="S1281" s="180">
        <v>0</v>
      </c>
      <c r="T1281" s="253">
        <v>1141542</v>
      </c>
      <c r="U1281" s="86">
        <v>0</v>
      </c>
      <c r="V1281" s="186">
        <v>0</v>
      </c>
      <c r="W1281" s="186">
        <f>R1281+G1281+S1281+T1281</f>
        <v>11536473</v>
      </c>
      <c r="X1281" s="46"/>
      <c r="Z1281" s="219">
        <f>W1281-11536472</f>
        <v>1</v>
      </c>
    </row>
    <row r="1282" spans="1:26" x14ac:dyDescent="0.2">
      <c r="A1282" s="191" t="s">
        <v>42</v>
      </c>
      <c r="B1282" s="91">
        <f t="shared" ref="B1282:G1282" si="599">B1279+B1281-B1232</f>
        <v>0</v>
      </c>
      <c r="C1282" s="91">
        <f t="shared" si="599"/>
        <v>15010697.999999996</v>
      </c>
      <c r="D1282" s="91">
        <f t="shared" si="599"/>
        <v>5393090.9999999851</v>
      </c>
      <c r="E1282" s="91">
        <f t="shared" si="599"/>
        <v>14119353.00000006</v>
      </c>
      <c r="F1282" s="91">
        <f t="shared" si="599"/>
        <v>7.4505805969238281E-9</v>
      </c>
      <c r="G1282" s="180">
        <f t="shared" si="599"/>
        <v>34523142.000000089</v>
      </c>
      <c r="H1282" s="91"/>
      <c r="I1282" s="91">
        <f t="shared" ref="I1282:W1282" si="600">I1279+I1281-I1232</f>
        <v>0</v>
      </c>
      <c r="J1282" s="91">
        <f t="shared" si="600"/>
        <v>0</v>
      </c>
      <c r="K1282" s="91">
        <f t="shared" si="600"/>
        <v>16928583</v>
      </c>
      <c r="L1282" s="91">
        <f t="shared" si="600"/>
        <v>12495225</v>
      </c>
      <c r="M1282" s="91">
        <f t="shared" si="600"/>
        <v>0</v>
      </c>
      <c r="N1282" s="91">
        <f t="shared" si="600"/>
        <v>133755</v>
      </c>
      <c r="O1282" s="91">
        <f t="shared" si="600"/>
        <v>4898042</v>
      </c>
      <c r="P1282" s="91">
        <f t="shared" si="600"/>
        <v>6274831</v>
      </c>
      <c r="Q1282" s="91">
        <f t="shared" si="600"/>
        <v>16597643</v>
      </c>
      <c r="R1282" s="180">
        <f t="shared" si="600"/>
        <v>57328079</v>
      </c>
      <c r="S1282" s="180">
        <f t="shared" si="600"/>
        <v>-3.7252902984619141E-8</v>
      </c>
      <c r="T1282" s="215">
        <f t="shared" si="600"/>
        <v>24491380</v>
      </c>
      <c r="U1282" s="86">
        <f t="shared" si="600"/>
        <v>4.6566128730773926E-10</v>
      </c>
      <c r="V1282" s="86">
        <f t="shared" si="600"/>
        <v>0</v>
      </c>
      <c r="W1282" s="186">
        <f t="shared" si="600"/>
        <v>116342601.00000021</v>
      </c>
      <c r="X1282" s="46">
        <f>X1279+W1281</f>
        <v>11219370593.937</v>
      </c>
    </row>
    <row r="1283" spans="1:26" x14ac:dyDescent="0.2">
      <c r="A1283" s="191"/>
      <c r="B1283" s="52"/>
      <c r="C1283" s="52"/>
      <c r="D1283" s="52"/>
      <c r="E1283" s="52"/>
      <c r="F1283" s="52"/>
      <c r="G1283" s="180"/>
      <c r="H1283" s="91"/>
      <c r="I1283" s="52"/>
      <c r="J1283" s="52"/>
      <c r="K1283" s="52"/>
      <c r="L1283" s="52"/>
      <c r="M1283" s="52"/>
      <c r="N1283" s="52"/>
      <c r="O1283" s="52"/>
      <c r="P1283" s="52"/>
      <c r="Q1283" s="52"/>
      <c r="R1283" s="180"/>
      <c r="S1283" s="180"/>
      <c r="T1283" s="44"/>
      <c r="U1283" s="86"/>
      <c r="V1283" s="186"/>
      <c r="W1283" s="186"/>
      <c r="X1283" s="46"/>
    </row>
    <row r="1284" spans="1:26" x14ac:dyDescent="0.2">
      <c r="A1284" s="191" t="s">
        <v>46</v>
      </c>
      <c r="B1284" s="91">
        <v>0</v>
      </c>
      <c r="C1284" s="91">
        <v>2118992</v>
      </c>
      <c r="D1284" s="91">
        <v>0</v>
      </c>
      <c r="E1284" s="91">
        <v>1240869</v>
      </c>
      <c r="F1284" s="91">
        <v>0</v>
      </c>
      <c r="G1284" s="180">
        <f>SUM(B1284:F1284)</f>
        <v>3359861</v>
      </c>
      <c r="H1284" s="91"/>
      <c r="I1284" s="91">
        <v>0</v>
      </c>
      <c r="J1284" s="253">
        <v>0</v>
      </c>
      <c r="K1284" s="253">
        <v>1782800</v>
      </c>
      <c r="L1284" s="253">
        <v>1075886</v>
      </c>
      <c r="M1284" s="253">
        <v>0</v>
      </c>
      <c r="N1284" s="253">
        <v>0</v>
      </c>
      <c r="O1284" s="253">
        <v>917559</v>
      </c>
      <c r="P1284" s="253">
        <v>1293353</v>
      </c>
      <c r="Q1284" s="91">
        <v>975323</v>
      </c>
      <c r="R1284" s="180">
        <f>SUM(I1284:Q1284)</f>
        <v>6044921</v>
      </c>
      <c r="S1284" s="180">
        <v>0</v>
      </c>
      <c r="T1284" s="253">
        <v>1618919</v>
      </c>
      <c r="U1284" s="86">
        <v>0</v>
      </c>
      <c r="V1284" s="186">
        <v>0</v>
      </c>
      <c r="W1284" s="186">
        <f>R1284+G1284+S1284+T1284</f>
        <v>11023701</v>
      </c>
      <c r="X1284" s="46"/>
      <c r="Z1284" s="219">
        <f>W1284-11023701</f>
        <v>0</v>
      </c>
    </row>
    <row r="1285" spans="1:26" x14ac:dyDescent="0.2">
      <c r="A1285" s="191" t="s">
        <v>42</v>
      </c>
      <c r="B1285" s="91">
        <f t="shared" ref="B1285:G1285" si="601">B1282+B1284-B1235</f>
        <v>0</v>
      </c>
      <c r="C1285" s="91">
        <f t="shared" si="601"/>
        <v>15103984.999999996</v>
      </c>
      <c r="D1285" s="91">
        <f t="shared" si="601"/>
        <v>1166787.9999999851</v>
      </c>
      <c r="E1285" s="91">
        <f t="shared" si="601"/>
        <v>15360222.00000006</v>
      </c>
      <c r="F1285" s="91">
        <f t="shared" si="601"/>
        <v>7.4505805969238281E-9</v>
      </c>
      <c r="G1285" s="180">
        <f t="shared" si="601"/>
        <v>31630995.000000089</v>
      </c>
      <c r="H1285" s="91"/>
      <c r="I1285" s="91">
        <f t="shared" ref="I1285:W1285" si="602">I1282+I1284-I1235</f>
        <v>0</v>
      </c>
      <c r="J1285" s="91">
        <f t="shared" si="602"/>
        <v>0</v>
      </c>
      <c r="K1285" s="91">
        <f t="shared" si="602"/>
        <v>17946619</v>
      </c>
      <c r="L1285" s="91">
        <f t="shared" si="602"/>
        <v>12890480</v>
      </c>
      <c r="M1285" s="91">
        <f t="shared" si="602"/>
        <v>0</v>
      </c>
      <c r="N1285" s="91">
        <f t="shared" si="602"/>
        <v>0</v>
      </c>
      <c r="O1285" s="91">
        <f t="shared" si="602"/>
        <v>5621774</v>
      </c>
      <c r="P1285" s="91">
        <f t="shared" si="602"/>
        <v>7568184</v>
      </c>
      <c r="Q1285" s="91">
        <f t="shared" si="602"/>
        <v>16534344</v>
      </c>
      <c r="R1285" s="180">
        <f t="shared" si="602"/>
        <v>60561401</v>
      </c>
      <c r="S1285" s="180">
        <f t="shared" si="602"/>
        <v>-3.7252902984619141E-8</v>
      </c>
      <c r="T1285" s="215">
        <f t="shared" si="602"/>
        <v>24418078</v>
      </c>
      <c r="U1285" s="86">
        <f t="shared" si="602"/>
        <v>4.6566128730773926E-10</v>
      </c>
      <c r="V1285" s="86">
        <f t="shared" si="602"/>
        <v>0</v>
      </c>
      <c r="W1285" s="186">
        <f t="shared" si="602"/>
        <v>116610474.00000021</v>
      </c>
      <c r="X1285" s="46">
        <f>X1282+W1284</f>
        <v>11230394294.937</v>
      </c>
    </row>
    <row r="1286" spans="1:26" x14ac:dyDescent="0.2">
      <c r="A1286" s="191"/>
      <c r="B1286" s="52"/>
      <c r="C1286" s="52"/>
      <c r="D1286" s="52"/>
      <c r="E1286" s="52"/>
      <c r="F1286" s="52"/>
      <c r="G1286" s="180"/>
      <c r="H1286" s="91"/>
      <c r="I1286" s="52"/>
      <c r="J1286" s="52"/>
      <c r="K1286" s="52"/>
      <c r="L1286" s="52"/>
      <c r="M1286" s="52"/>
      <c r="N1286" s="52"/>
      <c r="O1286" s="52"/>
      <c r="P1286" s="52"/>
      <c r="Q1286" s="52"/>
      <c r="R1286" s="180"/>
      <c r="S1286" s="180"/>
      <c r="T1286" s="44"/>
      <c r="U1286" s="86"/>
      <c r="V1286" s="44"/>
      <c r="W1286" s="86"/>
      <c r="X1286" s="46"/>
    </row>
    <row r="1287" spans="1:26" x14ac:dyDescent="0.2">
      <c r="A1287" s="191" t="s">
        <v>47</v>
      </c>
      <c r="B1287" s="91">
        <v>0</v>
      </c>
      <c r="C1287" s="91">
        <v>2554700</v>
      </c>
      <c r="D1287" s="91">
        <v>0</v>
      </c>
      <c r="E1287" s="91">
        <v>1130773</v>
      </c>
      <c r="F1287" s="91">
        <v>0</v>
      </c>
      <c r="G1287" s="180">
        <f>SUM(B1287:F1287)</f>
        <v>3685473</v>
      </c>
      <c r="H1287" s="91"/>
      <c r="I1287" s="91">
        <v>0</v>
      </c>
      <c r="J1287" s="253">
        <v>0</v>
      </c>
      <c r="K1287" s="253">
        <v>1972179</v>
      </c>
      <c r="L1287" s="253">
        <v>1863521</v>
      </c>
      <c r="M1287" s="253">
        <v>0</v>
      </c>
      <c r="N1287" s="253">
        <v>0</v>
      </c>
      <c r="O1287" s="253">
        <v>778472</v>
      </c>
      <c r="P1287" s="253">
        <v>0</v>
      </c>
      <c r="Q1287" s="91">
        <v>1331281</v>
      </c>
      <c r="R1287" s="180">
        <f>SUM(I1287:Q1287)</f>
        <v>5945453</v>
      </c>
      <c r="S1287" s="180">
        <v>0</v>
      </c>
      <c r="T1287" s="253">
        <v>3721038</v>
      </c>
      <c r="U1287" s="86">
        <v>0</v>
      </c>
      <c r="V1287" s="186">
        <v>0</v>
      </c>
      <c r="W1287" s="186">
        <f>R1287+G1287+S1287+T1287</f>
        <v>13351964</v>
      </c>
      <c r="X1287" s="46"/>
      <c r="Z1287" s="219">
        <f>W1287-13351964</f>
        <v>0</v>
      </c>
    </row>
    <row r="1288" spans="1:26" x14ac:dyDescent="0.2">
      <c r="A1288" s="191" t="s">
        <v>42</v>
      </c>
      <c r="B1288" s="91">
        <f t="shared" ref="B1288:G1288" si="603">B1285+B1287-B1238</f>
        <v>0</v>
      </c>
      <c r="C1288" s="91">
        <f t="shared" si="603"/>
        <v>16480020.999999996</v>
      </c>
      <c r="D1288" s="91">
        <f t="shared" si="603"/>
        <v>-1.4901161193847656E-8</v>
      </c>
      <c r="E1288" s="91">
        <f t="shared" si="603"/>
        <v>16490995.00000006</v>
      </c>
      <c r="F1288" s="91">
        <f t="shared" si="603"/>
        <v>7.4505805969238281E-9</v>
      </c>
      <c r="G1288" s="180">
        <f t="shared" si="603"/>
        <v>32971016.000000089</v>
      </c>
      <c r="H1288" s="91"/>
      <c r="I1288" s="91">
        <f t="shared" ref="I1288:W1288" si="604">I1285+I1287-I1238</f>
        <v>0</v>
      </c>
      <c r="J1288" s="91">
        <f t="shared" si="604"/>
        <v>0</v>
      </c>
      <c r="K1288" s="91">
        <f t="shared" si="604"/>
        <v>19918798</v>
      </c>
      <c r="L1288" s="91">
        <f t="shared" si="604"/>
        <v>14754001</v>
      </c>
      <c r="M1288" s="91">
        <f t="shared" si="604"/>
        <v>0</v>
      </c>
      <c r="N1288" s="91">
        <f t="shared" si="604"/>
        <v>0</v>
      </c>
      <c r="O1288" s="91">
        <f t="shared" si="604"/>
        <v>6400246</v>
      </c>
      <c r="P1288" s="91">
        <f t="shared" si="604"/>
        <v>7568184</v>
      </c>
      <c r="Q1288" s="91">
        <f t="shared" si="604"/>
        <v>16471145</v>
      </c>
      <c r="R1288" s="180">
        <f t="shared" si="604"/>
        <v>65112374</v>
      </c>
      <c r="S1288" s="180">
        <f t="shared" si="604"/>
        <v>-3.7252902984619141E-8</v>
      </c>
      <c r="T1288" s="215">
        <f t="shared" si="604"/>
        <v>20534991</v>
      </c>
      <c r="U1288" s="86">
        <f t="shared" si="604"/>
        <v>4.6566128730773926E-10</v>
      </c>
      <c r="V1288" s="289">
        <f t="shared" si="604"/>
        <v>0</v>
      </c>
      <c r="W1288" s="86">
        <f t="shared" si="604"/>
        <v>118618381.00000021</v>
      </c>
      <c r="X1288" s="46">
        <f>X1285+W1287</f>
        <v>11243746258.937</v>
      </c>
    </row>
    <row r="1289" spans="1:26" x14ac:dyDescent="0.2">
      <c r="A1289" s="191"/>
      <c r="B1289" s="52"/>
      <c r="C1289" s="52"/>
      <c r="D1289" s="52"/>
      <c r="E1289" s="52"/>
      <c r="F1289" s="52"/>
      <c r="G1289" s="180"/>
      <c r="H1289" s="91"/>
      <c r="I1289" s="52"/>
      <c r="J1289" s="52"/>
      <c r="K1289" s="52"/>
      <c r="L1289" s="52"/>
      <c r="M1289" s="52"/>
      <c r="N1289" s="52"/>
      <c r="O1289" s="52"/>
      <c r="P1289" s="52"/>
      <c r="Q1289" s="52"/>
      <c r="R1289" s="180"/>
      <c r="S1289" s="180" t="s">
        <v>105</v>
      </c>
      <c r="T1289" s="44"/>
      <c r="U1289" s="86"/>
      <c r="V1289" s="44"/>
      <c r="W1289" s="86"/>
      <c r="X1289" s="46"/>
    </row>
    <row r="1290" spans="1:26" x14ac:dyDescent="0.2">
      <c r="A1290" s="191" t="s">
        <v>48</v>
      </c>
      <c r="B1290" s="91">
        <v>0</v>
      </c>
      <c r="C1290" s="91">
        <v>2845270</v>
      </c>
      <c r="D1290" s="91">
        <v>0</v>
      </c>
      <c r="E1290" s="91">
        <v>0</v>
      </c>
      <c r="F1290" s="91">
        <v>0</v>
      </c>
      <c r="G1290" s="180">
        <f>SUM(B1290:F1290)</f>
        <v>2845270</v>
      </c>
      <c r="H1290" s="91"/>
      <c r="I1290" s="91">
        <v>0</v>
      </c>
      <c r="J1290" s="253">
        <v>0</v>
      </c>
      <c r="K1290" s="253">
        <v>1989618</v>
      </c>
      <c r="L1290" s="253">
        <v>1878159</v>
      </c>
      <c r="M1290" s="253">
        <v>0</v>
      </c>
      <c r="N1290" s="253">
        <v>0</v>
      </c>
      <c r="O1290" s="253">
        <v>657138</v>
      </c>
      <c r="P1290" s="253">
        <v>171024</v>
      </c>
      <c r="Q1290" s="91">
        <v>1377278</v>
      </c>
      <c r="R1290" s="180">
        <f>SUM(I1290:Q1290)</f>
        <v>6073217</v>
      </c>
      <c r="S1290" s="180">
        <v>27944</v>
      </c>
      <c r="T1290" s="253">
        <v>426787</v>
      </c>
      <c r="U1290" s="86">
        <v>0</v>
      </c>
      <c r="V1290" s="186">
        <v>0</v>
      </c>
      <c r="W1290" s="186">
        <f>R1290+G1290+S1290+T1290</f>
        <v>9373218</v>
      </c>
      <c r="X1290" s="46"/>
      <c r="Z1290" s="219">
        <f>W1290-9345275</f>
        <v>27943</v>
      </c>
    </row>
    <row r="1291" spans="1:26" x14ac:dyDescent="0.2">
      <c r="A1291" s="191" t="s">
        <v>42</v>
      </c>
      <c r="B1291" s="91">
        <f t="shared" ref="B1291:G1291" si="605">B1288+B1290-B1241</f>
        <v>0</v>
      </c>
      <c r="C1291" s="91">
        <f t="shared" si="605"/>
        <v>17625315.999999996</v>
      </c>
      <c r="D1291" s="91">
        <f t="shared" si="605"/>
        <v>-1.4901161193847656E-8</v>
      </c>
      <c r="E1291" s="91">
        <f t="shared" si="605"/>
        <v>16490995.00000006</v>
      </c>
      <c r="F1291" s="91">
        <f t="shared" si="605"/>
        <v>7.4505805969238281E-9</v>
      </c>
      <c r="G1291" s="180">
        <f t="shared" si="605"/>
        <v>34116311.000000089</v>
      </c>
      <c r="H1291" s="91"/>
      <c r="I1291" s="91">
        <f t="shared" ref="I1291:W1291" si="606">I1288+I1290-I1241</f>
        <v>0</v>
      </c>
      <c r="J1291" s="91">
        <f t="shared" si="606"/>
        <v>0</v>
      </c>
      <c r="K1291" s="91">
        <f t="shared" si="606"/>
        <v>21908416</v>
      </c>
      <c r="L1291" s="91">
        <f t="shared" si="606"/>
        <v>16632160</v>
      </c>
      <c r="M1291" s="91">
        <f t="shared" si="606"/>
        <v>0</v>
      </c>
      <c r="N1291" s="91">
        <f t="shared" si="606"/>
        <v>0</v>
      </c>
      <c r="O1291" s="91">
        <f t="shared" si="606"/>
        <v>7057384</v>
      </c>
      <c r="P1291" s="91">
        <f t="shared" si="606"/>
        <v>7739208</v>
      </c>
      <c r="Q1291" s="91">
        <f t="shared" si="606"/>
        <v>15583691</v>
      </c>
      <c r="R1291" s="180">
        <f t="shared" si="606"/>
        <v>68920859</v>
      </c>
      <c r="S1291" s="180">
        <f t="shared" si="606"/>
        <v>27943.999999962747</v>
      </c>
      <c r="T1291" s="215">
        <f t="shared" si="606"/>
        <v>12871088</v>
      </c>
      <c r="U1291" s="86">
        <f t="shared" si="606"/>
        <v>4.6566128730773926E-10</v>
      </c>
      <c r="V1291" s="289">
        <f t="shared" si="606"/>
        <v>0</v>
      </c>
      <c r="W1291" s="86">
        <f t="shared" si="606"/>
        <v>115936202.00000021</v>
      </c>
      <c r="X1291" s="46">
        <f>X1288+W1290</f>
        <v>11253119476.937</v>
      </c>
    </row>
    <row r="1292" spans="1:26" x14ac:dyDescent="0.2">
      <c r="A1292" s="191"/>
      <c r="B1292" s="52"/>
      <c r="C1292" s="52"/>
      <c r="D1292" s="52"/>
      <c r="E1292" s="52"/>
      <c r="F1292" s="52"/>
      <c r="G1292" s="180"/>
      <c r="H1292" s="91"/>
      <c r="I1292" s="52"/>
      <c r="J1292" s="52"/>
      <c r="K1292" s="52"/>
      <c r="L1292" s="52"/>
      <c r="M1292" s="52"/>
      <c r="N1292" s="52"/>
      <c r="O1292" s="52"/>
      <c r="P1292" s="52"/>
      <c r="Q1292" s="52"/>
      <c r="R1292" s="180"/>
      <c r="S1292" s="180"/>
      <c r="T1292" s="44"/>
      <c r="U1292" s="86"/>
      <c r="V1292" s="44"/>
      <c r="W1292" s="86"/>
      <c r="X1292" s="46"/>
    </row>
    <row r="1293" spans="1:26" x14ac:dyDescent="0.2">
      <c r="A1293" s="191" t="s">
        <v>49</v>
      </c>
      <c r="B1293" s="91">
        <v>0</v>
      </c>
      <c r="C1293" s="91">
        <v>2899141</v>
      </c>
      <c r="D1293" s="91">
        <v>0</v>
      </c>
      <c r="E1293" s="91">
        <v>0</v>
      </c>
      <c r="F1293" s="91">
        <v>0</v>
      </c>
      <c r="G1293" s="180">
        <f>SUM(B1293:F1293)</f>
        <v>2899141</v>
      </c>
      <c r="H1293" s="91"/>
      <c r="I1293" s="91">
        <v>0</v>
      </c>
      <c r="J1293" s="253">
        <v>0</v>
      </c>
      <c r="K1293" s="253">
        <v>1935400</v>
      </c>
      <c r="L1293" s="253">
        <v>1874976</v>
      </c>
      <c r="M1293" s="253">
        <v>0</v>
      </c>
      <c r="N1293" s="253">
        <v>0</v>
      </c>
      <c r="O1293" s="253">
        <v>762174</v>
      </c>
      <c r="P1293" s="253">
        <v>3117070</v>
      </c>
      <c r="Q1293" s="91">
        <v>1019031</v>
      </c>
      <c r="R1293" s="180">
        <f>SUM(I1293:Q1293)</f>
        <v>8708651</v>
      </c>
      <c r="S1293" s="180">
        <v>0</v>
      </c>
      <c r="T1293" s="253">
        <v>0</v>
      </c>
      <c r="U1293" s="86">
        <v>0</v>
      </c>
      <c r="V1293" s="186">
        <v>0</v>
      </c>
      <c r="W1293" s="186">
        <f>R1293+G1293+S1293+T1293</f>
        <v>11607792</v>
      </c>
      <c r="X1293" s="46"/>
      <c r="Z1293" s="219">
        <f>W1293-11607792</f>
        <v>0</v>
      </c>
    </row>
    <row r="1294" spans="1:26" x14ac:dyDescent="0.2">
      <c r="A1294" s="191" t="s">
        <v>42</v>
      </c>
      <c r="B1294" s="91">
        <f t="shared" ref="B1294:G1294" si="607">B1291+B1293-B1244</f>
        <v>0</v>
      </c>
      <c r="C1294" s="91">
        <f t="shared" si="607"/>
        <v>18825737.999999996</v>
      </c>
      <c r="D1294" s="91">
        <f t="shared" si="607"/>
        <v>-1.4901161193847656E-8</v>
      </c>
      <c r="E1294" s="91">
        <f t="shared" si="607"/>
        <v>16490995.00000006</v>
      </c>
      <c r="F1294" s="91">
        <f t="shared" si="607"/>
        <v>7.4505805969238281E-9</v>
      </c>
      <c r="G1294" s="180">
        <f t="shared" si="607"/>
        <v>35316733.000000089</v>
      </c>
      <c r="H1294" s="91"/>
      <c r="I1294" s="91">
        <f t="shared" ref="I1294:W1294" si="608">I1291+I1293-I1244</f>
        <v>0</v>
      </c>
      <c r="J1294" s="91">
        <f t="shared" si="608"/>
        <v>0</v>
      </c>
      <c r="K1294" s="91">
        <f t="shared" si="608"/>
        <v>22564043</v>
      </c>
      <c r="L1294" s="91">
        <f t="shared" si="608"/>
        <v>17316933</v>
      </c>
      <c r="M1294" s="91">
        <f t="shared" si="608"/>
        <v>0</v>
      </c>
      <c r="N1294" s="91">
        <f t="shared" si="608"/>
        <v>0</v>
      </c>
      <c r="O1294" s="91">
        <f t="shared" si="608"/>
        <v>7557325</v>
      </c>
      <c r="P1294" s="91">
        <f t="shared" si="608"/>
        <v>10856278</v>
      </c>
      <c r="Q1294" s="91">
        <f t="shared" si="608"/>
        <v>14331806</v>
      </c>
      <c r="R1294" s="180">
        <f t="shared" si="608"/>
        <v>72626385</v>
      </c>
      <c r="S1294" s="180">
        <f t="shared" si="608"/>
        <v>27943.999999962747</v>
      </c>
      <c r="T1294" s="215">
        <f t="shared" si="608"/>
        <v>9467809</v>
      </c>
      <c r="U1294" s="86">
        <f t="shared" si="608"/>
        <v>4.6566128730773926E-10</v>
      </c>
      <c r="V1294" s="289">
        <f t="shared" si="608"/>
        <v>0</v>
      </c>
      <c r="W1294" s="86">
        <f t="shared" si="608"/>
        <v>117438871.00000021</v>
      </c>
      <c r="X1294" s="46">
        <f>X1291+W1293</f>
        <v>11264727268.937</v>
      </c>
    </row>
    <row r="1295" spans="1:26" x14ac:dyDescent="0.2">
      <c r="A1295" s="191"/>
      <c r="B1295" s="52"/>
      <c r="C1295" s="52"/>
      <c r="D1295" s="52"/>
      <c r="E1295" s="52"/>
      <c r="F1295" s="52"/>
      <c r="G1295" s="180"/>
      <c r="H1295" s="91"/>
      <c r="I1295" s="52"/>
      <c r="J1295" s="52"/>
      <c r="K1295" s="52"/>
      <c r="L1295" s="52"/>
      <c r="M1295" s="52"/>
      <c r="N1295" s="52"/>
      <c r="O1295" s="52"/>
      <c r="P1295" s="52"/>
      <c r="Q1295" s="52"/>
      <c r="R1295" s="180"/>
      <c r="S1295" s="180"/>
      <c r="T1295" s="44"/>
      <c r="U1295" s="86"/>
      <c r="V1295" s="44"/>
      <c r="W1295" s="86"/>
      <c r="X1295" s="46"/>
    </row>
    <row r="1296" spans="1:26" x14ac:dyDescent="0.2">
      <c r="A1296" s="191" t="s">
        <v>50</v>
      </c>
      <c r="B1296" s="91">
        <v>0</v>
      </c>
      <c r="C1296" s="91">
        <v>2072096</v>
      </c>
      <c r="D1296" s="91">
        <v>0</v>
      </c>
      <c r="E1296" s="91">
        <v>0</v>
      </c>
      <c r="F1296" s="91">
        <v>0</v>
      </c>
      <c r="G1296" s="180">
        <f>SUM(B1296:F1296)</f>
        <v>2072096</v>
      </c>
      <c r="H1296" s="91"/>
      <c r="I1296" s="91">
        <v>0</v>
      </c>
      <c r="J1296" s="253">
        <v>0</v>
      </c>
      <c r="K1296" s="253">
        <v>1335897</v>
      </c>
      <c r="L1296" s="253">
        <v>1307148</v>
      </c>
      <c r="M1296" s="253">
        <v>32104</v>
      </c>
      <c r="N1296" s="253">
        <v>0</v>
      </c>
      <c r="O1296" s="253">
        <v>734795</v>
      </c>
      <c r="P1296" s="253">
        <v>2776336</v>
      </c>
      <c r="Q1296" s="91">
        <v>0</v>
      </c>
      <c r="R1296" s="180">
        <f>SUM(I1296:Q1296)</f>
        <v>6186280</v>
      </c>
      <c r="S1296" s="180">
        <v>0</v>
      </c>
      <c r="T1296" s="253">
        <v>0</v>
      </c>
      <c r="U1296" s="86">
        <v>0</v>
      </c>
      <c r="V1296" s="186">
        <v>0</v>
      </c>
      <c r="W1296" s="186">
        <f>R1296+G1296+S1296+T1296</f>
        <v>8258376</v>
      </c>
      <c r="X1296" s="46"/>
      <c r="Z1296" s="219">
        <f>W1296-8258376</f>
        <v>0</v>
      </c>
    </row>
    <row r="1297" spans="1:26" x14ac:dyDescent="0.2">
      <c r="A1297" s="191" t="s">
        <v>42</v>
      </c>
      <c r="B1297" s="91">
        <f t="shared" ref="B1297:G1297" si="609">B1294+B1296-B1247</f>
        <v>0</v>
      </c>
      <c r="C1297" s="91">
        <f t="shared" si="609"/>
        <v>20897833.999999996</v>
      </c>
      <c r="D1297" s="91">
        <f t="shared" si="609"/>
        <v>-1.4901161193847656E-8</v>
      </c>
      <c r="E1297" s="91">
        <f t="shared" si="609"/>
        <v>16490995.00000006</v>
      </c>
      <c r="F1297" s="91">
        <f t="shared" si="609"/>
        <v>7.4505805969238281E-9</v>
      </c>
      <c r="G1297" s="180">
        <f t="shared" si="609"/>
        <v>37388829.000000089</v>
      </c>
      <c r="H1297" s="91"/>
      <c r="I1297" s="91">
        <f t="shared" ref="I1297:W1297" si="610">I1294+I1296-I1247</f>
        <v>0</v>
      </c>
      <c r="J1297" s="91">
        <f t="shared" si="610"/>
        <v>0</v>
      </c>
      <c r="K1297" s="91">
        <f t="shared" si="610"/>
        <v>22309632</v>
      </c>
      <c r="L1297" s="91">
        <f t="shared" si="610"/>
        <v>17227417</v>
      </c>
      <c r="M1297" s="91">
        <f t="shared" si="610"/>
        <v>32104</v>
      </c>
      <c r="N1297" s="91">
        <f t="shared" si="610"/>
        <v>0</v>
      </c>
      <c r="O1297" s="91">
        <f t="shared" si="610"/>
        <v>7113655</v>
      </c>
      <c r="P1297" s="91">
        <f t="shared" si="610"/>
        <v>13632614</v>
      </c>
      <c r="Q1297" s="91">
        <f t="shared" si="610"/>
        <v>12135976</v>
      </c>
      <c r="R1297" s="180">
        <f t="shared" si="610"/>
        <v>72451398</v>
      </c>
      <c r="S1297" s="180">
        <f t="shared" si="610"/>
        <v>27943.999999962747</v>
      </c>
      <c r="T1297" s="215">
        <f t="shared" si="610"/>
        <v>8032678</v>
      </c>
      <c r="U1297" s="86">
        <f t="shared" si="610"/>
        <v>4.6566128730773926E-10</v>
      </c>
      <c r="V1297" s="289">
        <f t="shared" si="610"/>
        <v>0</v>
      </c>
      <c r="W1297" s="86">
        <f t="shared" si="610"/>
        <v>117900849.00000021</v>
      </c>
      <c r="X1297" s="46">
        <f>X1294+W1296</f>
        <v>11272985644.937</v>
      </c>
    </row>
    <row r="1298" spans="1:26" x14ac:dyDescent="0.2">
      <c r="A1298" s="191"/>
      <c r="B1298" s="52"/>
      <c r="C1298" s="52"/>
      <c r="D1298" s="52"/>
      <c r="E1298" s="52"/>
      <c r="F1298" s="52"/>
      <c r="G1298" s="180"/>
      <c r="H1298" s="91"/>
      <c r="I1298" s="52"/>
      <c r="J1298" s="52"/>
      <c r="K1298" s="52"/>
      <c r="L1298" s="52"/>
      <c r="M1298" s="52"/>
      <c r="N1298" s="52"/>
      <c r="O1298" s="52"/>
      <c r="P1298" s="52"/>
      <c r="Q1298" s="52"/>
      <c r="R1298" s="180"/>
      <c r="S1298" s="180"/>
      <c r="T1298" s="44"/>
      <c r="U1298" s="86"/>
      <c r="V1298" s="44"/>
      <c r="W1298" s="86"/>
      <c r="X1298" s="46"/>
    </row>
    <row r="1299" spans="1:26" x14ac:dyDescent="0.2">
      <c r="A1299" s="191" t="s">
        <v>51</v>
      </c>
      <c r="B1299" s="91">
        <v>0</v>
      </c>
      <c r="C1299" s="91">
        <v>3030127</v>
      </c>
      <c r="D1299" s="91">
        <v>0</v>
      </c>
      <c r="E1299" s="91">
        <v>0</v>
      </c>
      <c r="F1299" s="91">
        <v>0</v>
      </c>
      <c r="G1299" s="180">
        <f>SUM(B1299:F1299)</f>
        <v>3030127</v>
      </c>
      <c r="H1299" s="91"/>
      <c r="I1299" s="91">
        <v>0</v>
      </c>
      <c r="J1299" s="253">
        <v>0</v>
      </c>
      <c r="K1299" s="253">
        <v>1615907</v>
      </c>
      <c r="L1299" s="253">
        <v>1486788</v>
      </c>
      <c r="M1299" s="253">
        <v>0</v>
      </c>
      <c r="N1299" s="253">
        <v>0</v>
      </c>
      <c r="O1299" s="253">
        <v>703800</v>
      </c>
      <c r="P1299" s="253">
        <v>3065085</v>
      </c>
      <c r="Q1299" s="91">
        <v>661551</v>
      </c>
      <c r="R1299" s="180">
        <f>SUM(I1299:Q1299)</f>
        <v>7533131</v>
      </c>
      <c r="S1299" s="180">
        <v>0</v>
      </c>
      <c r="T1299" s="253">
        <v>0</v>
      </c>
      <c r="U1299" s="86">
        <v>0</v>
      </c>
      <c r="V1299" s="186">
        <v>0</v>
      </c>
      <c r="W1299" s="186">
        <f>R1299+G1299+S1299+T1299</f>
        <v>10563258</v>
      </c>
      <c r="X1299" s="46"/>
      <c r="Z1299" s="219">
        <f>W1299-10563259</f>
        <v>-1</v>
      </c>
    </row>
    <row r="1300" spans="1:26" x14ac:dyDescent="0.2">
      <c r="A1300" s="191" t="s">
        <v>42</v>
      </c>
      <c r="B1300" s="91">
        <f t="shared" ref="B1300:G1300" si="611">B1297+B1299-B1250</f>
        <v>0</v>
      </c>
      <c r="C1300" s="91">
        <f t="shared" si="611"/>
        <v>23927960.999999996</v>
      </c>
      <c r="D1300" s="91">
        <f t="shared" si="611"/>
        <v>-1.4901161193847656E-8</v>
      </c>
      <c r="E1300" s="91">
        <f t="shared" si="611"/>
        <v>16225770.00000006</v>
      </c>
      <c r="F1300" s="91">
        <f t="shared" si="611"/>
        <v>7.4505805969238281E-9</v>
      </c>
      <c r="G1300" s="180">
        <f t="shared" si="611"/>
        <v>40153731.000000089</v>
      </c>
      <c r="H1300" s="91"/>
      <c r="I1300" s="91">
        <f t="shared" ref="I1300:W1300" si="612">I1297+I1299-I1250</f>
        <v>0</v>
      </c>
      <c r="J1300" s="91">
        <f t="shared" si="612"/>
        <v>0</v>
      </c>
      <c r="K1300" s="91">
        <f t="shared" si="612"/>
        <v>21916342</v>
      </c>
      <c r="L1300" s="91">
        <f t="shared" si="612"/>
        <v>17646492</v>
      </c>
      <c r="M1300" s="91">
        <f t="shared" si="612"/>
        <v>32104</v>
      </c>
      <c r="N1300" s="91">
        <f t="shared" si="612"/>
        <v>0</v>
      </c>
      <c r="O1300" s="91">
        <f t="shared" si="612"/>
        <v>6549328</v>
      </c>
      <c r="P1300" s="91">
        <f t="shared" si="612"/>
        <v>16563139</v>
      </c>
      <c r="Q1300" s="91">
        <f t="shared" si="612"/>
        <v>10528936</v>
      </c>
      <c r="R1300" s="180">
        <f t="shared" si="612"/>
        <v>73236341</v>
      </c>
      <c r="S1300" s="180">
        <f t="shared" si="612"/>
        <v>27943.999999962747</v>
      </c>
      <c r="T1300" s="215">
        <f t="shared" si="612"/>
        <v>7298389</v>
      </c>
      <c r="U1300" s="86">
        <f t="shared" si="612"/>
        <v>4.6566128730773926E-10</v>
      </c>
      <c r="V1300" s="289">
        <f t="shared" si="612"/>
        <v>0</v>
      </c>
      <c r="W1300" s="86">
        <f t="shared" si="612"/>
        <v>120716405.00000021</v>
      </c>
      <c r="X1300" s="46">
        <f>X1297+W1299</f>
        <v>11283548902.937</v>
      </c>
    </row>
    <row r="1301" spans="1:26" x14ac:dyDescent="0.2">
      <c r="A1301" s="191"/>
      <c r="B1301" s="52"/>
      <c r="C1301" s="52"/>
      <c r="D1301" s="52"/>
      <c r="E1301" s="52"/>
      <c r="F1301" s="52"/>
      <c r="G1301" s="180"/>
      <c r="H1301" s="91"/>
      <c r="I1301" s="52"/>
      <c r="J1301" s="52"/>
      <c r="K1301" s="52"/>
      <c r="L1301" s="52"/>
      <c r="M1301" s="52"/>
      <c r="N1301" s="52"/>
      <c r="O1301" s="52"/>
      <c r="P1301" s="52"/>
      <c r="Q1301" s="52"/>
      <c r="R1301" s="180"/>
      <c r="S1301" s="180"/>
      <c r="T1301" s="44"/>
      <c r="U1301" s="86"/>
      <c r="V1301" s="44"/>
      <c r="W1301" s="86"/>
      <c r="X1301" s="46"/>
    </row>
    <row r="1302" spans="1:26" x14ac:dyDescent="0.2">
      <c r="A1302" s="191" t="s">
        <v>52</v>
      </c>
      <c r="B1302" s="91">
        <v>0</v>
      </c>
      <c r="C1302" s="91">
        <v>0</v>
      </c>
      <c r="D1302" s="91">
        <v>0</v>
      </c>
      <c r="E1302" s="91">
        <v>0</v>
      </c>
      <c r="F1302" s="91">
        <v>0</v>
      </c>
      <c r="G1302" s="180">
        <f>SUM(B1302:F1302)</f>
        <v>0</v>
      </c>
      <c r="H1302" s="91"/>
      <c r="I1302" s="91">
        <v>0</v>
      </c>
      <c r="J1302" s="253">
        <v>0</v>
      </c>
      <c r="K1302" s="253">
        <v>0</v>
      </c>
      <c r="L1302" s="253">
        <v>0</v>
      </c>
      <c r="M1302" s="253">
        <v>0</v>
      </c>
      <c r="N1302" s="253">
        <v>0</v>
      </c>
      <c r="O1302" s="253">
        <v>0</v>
      </c>
      <c r="P1302" s="253">
        <v>0</v>
      </c>
      <c r="Q1302" s="91">
        <v>0</v>
      </c>
      <c r="R1302" s="180">
        <f>SUM(I1302:Q1302)</f>
        <v>0</v>
      </c>
      <c r="S1302" s="180">
        <v>0</v>
      </c>
      <c r="T1302" s="253">
        <v>0</v>
      </c>
      <c r="U1302" s="86">
        <v>0</v>
      </c>
      <c r="V1302" s="186">
        <v>0</v>
      </c>
      <c r="W1302" s="186">
        <f>R1302+G1302+S1302+T1302</f>
        <v>0</v>
      </c>
      <c r="X1302" s="46"/>
    </row>
    <row r="1303" spans="1:26" x14ac:dyDescent="0.2">
      <c r="A1303" s="191" t="s">
        <v>42</v>
      </c>
      <c r="B1303" s="91">
        <f t="shared" ref="B1303:G1303" si="613">B1300+B1302-B1253</f>
        <v>0</v>
      </c>
      <c r="C1303" s="91">
        <f t="shared" si="613"/>
        <v>23927960.999999996</v>
      </c>
      <c r="D1303" s="91">
        <f t="shared" si="613"/>
        <v>-1.4901161193847656E-8</v>
      </c>
      <c r="E1303" s="91">
        <f t="shared" si="613"/>
        <v>15488004.00000006</v>
      </c>
      <c r="F1303" s="91">
        <f t="shared" si="613"/>
        <v>7.4505805969238281E-9</v>
      </c>
      <c r="G1303" s="180">
        <f t="shared" si="613"/>
        <v>39415965.000000089</v>
      </c>
      <c r="H1303" s="91"/>
      <c r="I1303" s="91">
        <f t="shared" ref="I1303:W1303" si="614">I1300+I1302-I1253</f>
        <v>0</v>
      </c>
      <c r="J1303" s="91">
        <f t="shared" si="614"/>
        <v>0</v>
      </c>
      <c r="K1303" s="91">
        <f t="shared" si="614"/>
        <v>19912685</v>
      </c>
      <c r="L1303" s="91">
        <f t="shared" si="614"/>
        <v>15774028</v>
      </c>
      <c r="M1303" s="91">
        <f t="shared" si="614"/>
        <v>32104</v>
      </c>
      <c r="N1303" s="91">
        <f t="shared" si="614"/>
        <v>0</v>
      </c>
      <c r="O1303" s="91">
        <f t="shared" si="614"/>
        <v>5447784</v>
      </c>
      <c r="P1303" s="91">
        <f t="shared" si="614"/>
        <v>16563139</v>
      </c>
      <c r="Q1303" s="91">
        <f t="shared" si="614"/>
        <v>8313880</v>
      </c>
      <c r="R1303" s="180">
        <f t="shared" si="614"/>
        <v>66043620</v>
      </c>
      <c r="S1303" s="180">
        <f t="shared" si="614"/>
        <v>27943.999999962747</v>
      </c>
      <c r="T1303" s="215">
        <f t="shared" si="614"/>
        <v>7298389</v>
      </c>
      <c r="U1303" s="86">
        <f t="shared" si="614"/>
        <v>4.6566128730773926E-10</v>
      </c>
      <c r="V1303" s="289">
        <f t="shared" si="614"/>
        <v>0</v>
      </c>
      <c r="W1303" s="86">
        <f t="shared" si="614"/>
        <v>112785918.00000021</v>
      </c>
      <c r="X1303" s="46">
        <f>X1300+W1302</f>
        <v>11283548902.937</v>
      </c>
    </row>
    <row r="1304" spans="1:26" x14ac:dyDescent="0.2">
      <c r="A1304" s="191"/>
      <c r="B1304" s="52"/>
      <c r="C1304" s="52"/>
      <c r="D1304" s="52"/>
      <c r="E1304" s="52"/>
      <c r="F1304" s="52"/>
      <c r="G1304" s="180"/>
      <c r="H1304" s="91"/>
      <c r="I1304" s="52"/>
      <c r="J1304" s="52"/>
      <c r="K1304" s="52"/>
      <c r="L1304" s="52"/>
      <c r="M1304" s="52"/>
      <c r="N1304" s="52"/>
      <c r="O1304" s="52"/>
      <c r="P1304" s="52"/>
      <c r="Q1304" s="52"/>
      <c r="R1304" s="180"/>
      <c r="S1304" s="180"/>
      <c r="T1304" s="44"/>
      <c r="U1304" s="86"/>
      <c r="V1304" s="44"/>
      <c r="W1304" s="86"/>
      <c r="X1304" s="46"/>
    </row>
    <row r="1305" spans="1:26" x14ac:dyDescent="0.2">
      <c r="A1305" s="245" t="s">
        <v>53</v>
      </c>
      <c r="B1305" s="91">
        <v>0</v>
      </c>
      <c r="C1305" s="91">
        <v>0</v>
      </c>
      <c r="D1305" s="91">
        <v>0</v>
      </c>
      <c r="E1305" s="91">
        <v>0</v>
      </c>
      <c r="F1305" s="91">
        <v>0</v>
      </c>
      <c r="G1305" s="180">
        <f>SUM(B1305:F1305)</f>
        <v>0</v>
      </c>
      <c r="H1305" s="91"/>
      <c r="I1305" s="91">
        <v>0</v>
      </c>
      <c r="J1305" s="253">
        <v>0</v>
      </c>
      <c r="K1305" s="253">
        <v>0</v>
      </c>
      <c r="L1305" s="253">
        <v>0</v>
      </c>
      <c r="M1305" s="253">
        <v>0</v>
      </c>
      <c r="N1305" s="253">
        <v>0</v>
      </c>
      <c r="O1305" s="253">
        <v>0</v>
      </c>
      <c r="P1305" s="253">
        <v>0</v>
      </c>
      <c r="Q1305" s="91">
        <v>0</v>
      </c>
      <c r="R1305" s="180">
        <f>SUM(I1305:Q1305)</f>
        <v>0</v>
      </c>
      <c r="S1305" s="180">
        <v>0</v>
      </c>
      <c r="T1305" s="253">
        <v>0</v>
      </c>
      <c r="U1305" s="86">
        <v>0</v>
      </c>
      <c r="V1305" s="186">
        <v>0</v>
      </c>
      <c r="W1305" s="186">
        <f>R1305+G1305+S1305+T1305</f>
        <v>0</v>
      </c>
      <c r="X1305" s="46"/>
    </row>
    <row r="1306" spans="1:26" ht="13.5" thickBot="1" x14ac:dyDescent="0.25">
      <c r="A1306" s="192" t="s">
        <v>42</v>
      </c>
      <c r="B1306" s="187">
        <f t="shared" ref="B1306:G1306" si="615">B1303+B1305-B1256</f>
        <v>0</v>
      </c>
      <c r="C1306" s="187">
        <f t="shared" si="615"/>
        <v>23818010.999999996</v>
      </c>
      <c r="D1306" s="187">
        <f t="shared" si="615"/>
        <v>-1.4901161193847656E-8</v>
      </c>
      <c r="E1306" s="187">
        <f t="shared" si="615"/>
        <v>15488004.00000006</v>
      </c>
      <c r="F1306" s="187">
        <f t="shared" si="615"/>
        <v>7.4505805969238281E-9</v>
      </c>
      <c r="G1306" s="188">
        <f t="shared" si="615"/>
        <v>39306015.000000089</v>
      </c>
      <c r="H1306" s="187"/>
      <c r="I1306" s="187">
        <f t="shared" ref="I1306:W1306" si="616">I1303+I1305-I1256</f>
        <v>0</v>
      </c>
      <c r="J1306" s="187">
        <f t="shared" si="616"/>
        <v>0</v>
      </c>
      <c r="K1306" s="187">
        <f t="shared" si="616"/>
        <v>18272408</v>
      </c>
      <c r="L1306" s="187">
        <f t="shared" si="616"/>
        <v>14136116</v>
      </c>
      <c r="M1306" s="187">
        <f t="shared" si="616"/>
        <v>32104</v>
      </c>
      <c r="N1306" s="187">
        <f t="shared" si="616"/>
        <v>0</v>
      </c>
      <c r="O1306" s="187">
        <f t="shared" si="616"/>
        <v>5447784</v>
      </c>
      <c r="P1306" s="187">
        <f t="shared" si="616"/>
        <v>14499576</v>
      </c>
      <c r="Q1306" s="187">
        <f t="shared" si="616"/>
        <v>8264401</v>
      </c>
      <c r="R1306" s="188">
        <f t="shared" si="616"/>
        <v>60652389</v>
      </c>
      <c r="S1306" s="188">
        <f t="shared" si="616"/>
        <v>27943.999999962747</v>
      </c>
      <c r="T1306" s="262">
        <f t="shared" si="616"/>
        <v>7298389</v>
      </c>
      <c r="U1306" s="224">
        <f t="shared" si="616"/>
        <v>4.6566128730773926E-10</v>
      </c>
      <c r="V1306" s="290">
        <f t="shared" si="616"/>
        <v>0</v>
      </c>
      <c r="W1306" s="224">
        <f t="shared" si="616"/>
        <v>107284737.00000021</v>
      </c>
      <c r="X1306" s="190">
        <f>X1303+W1305</f>
        <v>11283548902.937</v>
      </c>
    </row>
    <row r="1307" spans="1:26" x14ac:dyDescent="0.2">
      <c r="A1307" s="211" t="s">
        <v>226</v>
      </c>
    </row>
    <row r="1308" spans="1:26" x14ac:dyDescent="0.2">
      <c r="A1308" s="211" t="s">
        <v>142</v>
      </c>
      <c r="S1308" s="282" t="s">
        <v>255</v>
      </c>
      <c r="T1308" s="219"/>
    </row>
    <row r="1309" spans="1:26" x14ac:dyDescent="0.2">
      <c r="A1309" s="211" t="s">
        <v>182</v>
      </c>
      <c r="S1309" t="s">
        <v>122</v>
      </c>
    </row>
    <row r="1310" spans="1:26" x14ac:dyDescent="0.2">
      <c r="A1310" s="211" t="s">
        <v>254</v>
      </c>
      <c r="B1310" s="243"/>
      <c r="C1310" s="280"/>
      <c r="D1310" s="243"/>
      <c r="I1310" s="283">
        <f>I1241+I1244+I1247+I1250+I1253+I1256+I1272+I1275+I1278+I1281+I1284+I1287</f>
        <v>0</v>
      </c>
      <c r="J1310" s="283">
        <f t="shared" ref="J1310:Q1310" si="617">J1241+J1244+J1247+J1250+J1253+J1256+J1272+J1275+J1278+J1281+J1284+J1287</f>
        <v>0</v>
      </c>
      <c r="K1310" s="283">
        <f t="shared" si="617"/>
        <v>19918798</v>
      </c>
      <c r="L1310" s="283">
        <f t="shared" si="617"/>
        <v>14754001</v>
      </c>
      <c r="M1310" s="283">
        <f t="shared" si="617"/>
        <v>0</v>
      </c>
      <c r="N1310" s="283">
        <f t="shared" si="617"/>
        <v>0</v>
      </c>
      <c r="O1310" s="283">
        <f t="shared" si="617"/>
        <v>6400246</v>
      </c>
      <c r="P1310" s="283">
        <f t="shared" si="617"/>
        <v>7568184</v>
      </c>
      <c r="Q1310" s="283">
        <f t="shared" si="617"/>
        <v>16471145</v>
      </c>
    </row>
    <row r="1311" spans="1:26" x14ac:dyDescent="0.2">
      <c r="E1311" s="284"/>
      <c r="F1311" s="285" t="s">
        <v>230</v>
      </c>
    </row>
  </sheetData>
  <sheetProtection password="E2F7" sheet="1" objects="1" scenarios="1"/>
  <phoneticPr fontId="0" type="noConversion"/>
  <printOptions horizontalCentered="1" verticalCentered="1"/>
  <pageMargins left="0" right="0" top="0" bottom="0" header="0" footer="0"/>
  <pageSetup scale="55" orientation="landscape" horizontalDpi="800" verticalDpi="8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3"/>
  <sheetViews>
    <sheetView workbookViewId="0">
      <selection activeCell="V34" sqref="V34"/>
    </sheetView>
  </sheetViews>
  <sheetFormatPr defaultRowHeight="12.75" x14ac:dyDescent="0.2"/>
  <cols>
    <col min="2" max="2" width="10.6640625" customWidth="1"/>
    <col min="3" max="3" width="11.1640625" customWidth="1"/>
    <col min="4" max="4" width="11.6640625" customWidth="1"/>
    <col min="5" max="5" width="10.6640625" customWidth="1"/>
    <col min="6" max="6" width="10.83203125" bestFit="1" customWidth="1"/>
    <col min="7" max="7" width="12.1640625" customWidth="1"/>
    <col min="8" max="8" width="10.6640625" customWidth="1"/>
    <col min="9" max="9" width="11.1640625" customWidth="1"/>
    <col min="10" max="11" width="10.6640625" customWidth="1"/>
    <col min="12" max="12" width="10.83203125" customWidth="1"/>
    <col min="13" max="13" width="9.83203125" customWidth="1"/>
    <col min="15" max="15" width="10.6640625" customWidth="1"/>
    <col min="16" max="16" width="11.1640625" customWidth="1"/>
    <col min="17" max="18" width="12.33203125" bestFit="1" customWidth="1"/>
    <col min="19" max="19" width="10.83203125" bestFit="1" customWidth="1"/>
    <col min="20" max="20" width="9.83203125" bestFit="1" customWidth="1"/>
    <col min="21" max="21" width="10.83203125" bestFit="1" customWidth="1"/>
    <col min="23" max="23" width="12.33203125" bestFit="1" customWidth="1"/>
  </cols>
  <sheetData>
    <row r="1" spans="1:26" ht="13.5" thickBot="1" x14ac:dyDescent="0.25"/>
    <row r="2" spans="1:26" x14ac:dyDescent="0.2">
      <c r="A2" s="174"/>
    </row>
    <row r="3" spans="1:26" s="1" customFormat="1" ht="13.5" thickBot="1" x14ac:dyDescent="0.25">
      <c r="A3" s="176"/>
      <c r="B3" s="61"/>
      <c r="C3" s="62"/>
      <c r="D3" s="63"/>
      <c r="E3" s="64"/>
      <c r="F3" s="64"/>
      <c r="G3" s="64"/>
      <c r="H3" s="61"/>
      <c r="I3" s="64"/>
      <c r="J3" s="64"/>
      <c r="K3" s="65"/>
      <c r="L3" s="64"/>
      <c r="M3" s="64"/>
      <c r="N3" s="64"/>
      <c r="O3" s="64"/>
      <c r="P3" s="64"/>
      <c r="Q3" s="138"/>
      <c r="R3" s="64"/>
      <c r="S3" s="64"/>
      <c r="T3" s="64"/>
      <c r="U3" s="64"/>
      <c r="V3" s="64"/>
      <c r="W3" s="66"/>
      <c r="X3" s="36"/>
    </row>
    <row r="4" spans="1:26" s="1" customFormat="1" x14ac:dyDescent="0.2">
      <c r="A4" s="175"/>
      <c r="B4" s="68" t="s">
        <v>11</v>
      </c>
      <c r="C4" s="68" t="s">
        <v>12</v>
      </c>
      <c r="D4" s="68" t="s">
        <v>13</v>
      </c>
      <c r="E4" s="68" t="s">
        <v>14</v>
      </c>
      <c r="F4" s="68" t="s">
        <v>15</v>
      </c>
      <c r="G4" s="69" t="s">
        <v>16</v>
      </c>
      <c r="H4" s="68" t="s">
        <v>17</v>
      </c>
      <c r="I4" s="70"/>
      <c r="J4" s="70"/>
      <c r="K4" s="70"/>
      <c r="L4" s="70"/>
      <c r="M4" s="68" t="s">
        <v>18</v>
      </c>
      <c r="N4" s="68" t="s">
        <v>19</v>
      </c>
      <c r="O4" s="68" t="s">
        <v>20</v>
      </c>
      <c r="P4" s="68" t="s">
        <v>21</v>
      </c>
      <c r="Q4" s="69" t="s">
        <v>16</v>
      </c>
      <c r="R4" s="203" t="s">
        <v>69</v>
      </c>
      <c r="S4" s="202" t="s">
        <v>126</v>
      </c>
      <c r="T4" s="202" t="s">
        <v>138</v>
      </c>
      <c r="U4" s="202" t="s">
        <v>134</v>
      </c>
      <c r="V4" s="202" t="s">
        <v>136</v>
      </c>
      <c r="W4" s="72" t="s">
        <v>7</v>
      </c>
      <c r="X4" s="73" t="s">
        <v>70</v>
      </c>
    </row>
    <row r="5" spans="1:26" s="1" customFormat="1" ht="13.5" thickBot="1" x14ac:dyDescent="0.25">
      <c r="A5" s="176"/>
      <c r="B5" s="76" t="s">
        <v>23</v>
      </c>
      <c r="C5" s="76" t="s">
        <v>24</v>
      </c>
      <c r="D5" s="76" t="s">
        <v>25</v>
      </c>
      <c r="E5" s="76" t="s">
        <v>26</v>
      </c>
      <c r="F5" s="76" t="s">
        <v>27</v>
      </c>
      <c r="G5" s="77" t="s">
        <v>28</v>
      </c>
      <c r="H5" s="76" t="s">
        <v>29</v>
      </c>
      <c r="I5" s="76" t="s">
        <v>30</v>
      </c>
      <c r="J5" s="76" t="s">
        <v>31</v>
      </c>
      <c r="K5" s="76" t="s">
        <v>32</v>
      </c>
      <c r="L5" s="76" t="s">
        <v>33</v>
      </c>
      <c r="M5" s="76" t="s">
        <v>34</v>
      </c>
      <c r="N5" s="76" t="s">
        <v>35</v>
      </c>
      <c r="O5" s="76" t="s">
        <v>36</v>
      </c>
      <c r="P5" s="76" t="s">
        <v>37</v>
      </c>
      <c r="Q5" s="77" t="s">
        <v>28</v>
      </c>
      <c r="R5" s="204" t="s">
        <v>82</v>
      </c>
      <c r="S5" s="78" t="s">
        <v>130</v>
      </c>
      <c r="T5" s="78" t="s">
        <v>139</v>
      </c>
      <c r="U5" s="78" t="s">
        <v>135</v>
      </c>
      <c r="V5" s="78" t="s">
        <v>137</v>
      </c>
      <c r="W5" s="79" t="s">
        <v>10</v>
      </c>
      <c r="X5" s="80" t="s">
        <v>71</v>
      </c>
    </row>
    <row r="6" spans="1:26" s="1" customFormat="1" x14ac:dyDescent="0.2">
      <c r="A6" s="175"/>
      <c r="B6" s="33"/>
      <c r="C6" s="33"/>
      <c r="D6" s="33"/>
      <c r="E6" s="33"/>
      <c r="F6" s="33"/>
      <c r="G6" s="34"/>
      <c r="H6" s="33"/>
      <c r="I6" s="33"/>
      <c r="J6" s="33"/>
      <c r="K6" s="33"/>
      <c r="L6" s="33"/>
      <c r="M6" s="33"/>
      <c r="N6" s="33"/>
      <c r="O6" s="33"/>
      <c r="P6" s="33"/>
      <c r="Q6" s="34"/>
      <c r="R6" s="205"/>
      <c r="S6" s="214"/>
      <c r="T6" s="214"/>
      <c r="U6" s="214"/>
      <c r="V6" s="35"/>
      <c r="W6" s="81"/>
      <c r="X6" s="36"/>
    </row>
    <row r="7" spans="1:26" s="1" customFormat="1" x14ac:dyDescent="0.2">
      <c r="A7" s="191" t="s">
        <v>41</v>
      </c>
      <c r="B7" s="38"/>
      <c r="C7" s="38"/>
      <c r="D7" s="38"/>
      <c r="E7" s="38"/>
      <c r="F7" s="38"/>
      <c r="G7" s="39"/>
      <c r="H7" s="38"/>
      <c r="I7" s="38"/>
      <c r="J7" s="38"/>
      <c r="K7" s="38"/>
      <c r="L7" s="38"/>
      <c r="M7" s="38"/>
      <c r="N7" s="38"/>
      <c r="O7" s="38"/>
      <c r="P7" s="38"/>
      <c r="Q7" s="39"/>
      <c r="R7" s="39"/>
      <c r="S7" s="39"/>
      <c r="T7" s="39"/>
      <c r="U7" s="39"/>
      <c r="V7" s="39"/>
      <c r="W7" s="83"/>
      <c r="X7" s="41"/>
      <c r="Z7" s="220"/>
    </row>
    <row r="8" spans="1:26" s="1" customFormat="1" x14ac:dyDescent="0.2">
      <c r="A8" s="191" t="s">
        <v>42</v>
      </c>
      <c r="B8" s="141"/>
      <c r="C8" s="141"/>
      <c r="D8" s="141"/>
      <c r="E8" s="141"/>
      <c r="F8" s="141"/>
      <c r="G8" s="172"/>
      <c r="H8" s="141"/>
      <c r="I8" s="141"/>
      <c r="J8" s="141"/>
      <c r="K8" s="141"/>
      <c r="L8" s="141"/>
      <c r="M8" s="141"/>
      <c r="N8" s="141"/>
      <c r="O8" s="141"/>
      <c r="P8" s="141"/>
      <c r="Q8" s="39"/>
      <c r="R8" s="172"/>
      <c r="S8" s="172"/>
      <c r="T8" s="172"/>
      <c r="U8" s="172"/>
      <c r="V8" s="172"/>
      <c r="W8" s="83"/>
      <c r="X8" s="41"/>
    </row>
    <row r="9" spans="1:26" s="1" customFormat="1" x14ac:dyDescent="0.2">
      <c r="A9" s="191"/>
      <c r="B9" s="38"/>
      <c r="C9" s="38"/>
      <c r="D9" s="38"/>
      <c r="E9" s="38"/>
      <c r="F9" s="38"/>
      <c r="G9" s="39"/>
      <c r="H9" s="38"/>
      <c r="I9" s="38"/>
      <c r="J9" s="38"/>
      <c r="K9" s="38"/>
      <c r="L9" s="38"/>
      <c r="M9" s="38"/>
      <c r="N9" s="38"/>
      <c r="O9" s="38"/>
      <c r="P9" s="38"/>
      <c r="Q9" s="39"/>
      <c r="R9" s="47"/>
      <c r="S9" s="47"/>
      <c r="T9" s="47"/>
      <c r="U9" s="47"/>
      <c r="V9" s="43"/>
      <c r="W9" s="83"/>
      <c r="X9" s="41"/>
    </row>
    <row r="10" spans="1:26" s="1" customFormat="1" x14ac:dyDescent="0.2">
      <c r="A10" s="191" t="s">
        <v>43</v>
      </c>
      <c r="B10" s="38"/>
      <c r="C10" s="38"/>
      <c r="D10" s="38"/>
      <c r="E10" s="38"/>
      <c r="F10" s="38"/>
      <c r="G10" s="39"/>
      <c r="H10" s="38"/>
      <c r="I10" s="38"/>
      <c r="J10" s="38"/>
      <c r="K10" s="38"/>
      <c r="L10" s="38"/>
      <c r="M10" s="38"/>
      <c r="N10" s="38"/>
      <c r="O10" s="38"/>
      <c r="P10" s="38"/>
      <c r="Q10" s="39"/>
      <c r="R10" s="39"/>
      <c r="S10" s="39"/>
      <c r="T10" s="39"/>
      <c r="U10" s="39"/>
      <c r="V10" s="39"/>
      <c r="W10" s="83"/>
      <c r="X10" s="41"/>
      <c r="Z10" s="220"/>
    </row>
    <row r="11" spans="1:26" s="1" customFormat="1" x14ac:dyDescent="0.2">
      <c r="A11" s="191" t="s">
        <v>42</v>
      </c>
      <c r="B11" s="141"/>
      <c r="C11" s="141"/>
      <c r="D11" s="141"/>
      <c r="E11" s="141"/>
      <c r="F11" s="141"/>
      <c r="G11" s="39"/>
      <c r="H11" s="141"/>
      <c r="I11" s="141"/>
      <c r="J11" s="141"/>
      <c r="K11" s="141"/>
      <c r="L11" s="141"/>
      <c r="M11" s="141"/>
      <c r="N11" s="141"/>
      <c r="O11" s="141"/>
      <c r="P11" s="141"/>
      <c r="Q11" s="39"/>
      <c r="R11" s="39"/>
      <c r="S11" s="39"/>
      <c r="T11" s="39"/>
      <c r="U11" s="39"/>
      <c r="V11" s="39"/>
      <c r="W11" s="140"/>
      <c r="X11" s="41"/>
    </row>
    <row r="12" spans="1:26" s="1" customFormat="1" x14ac:dyDescent="0.2">
      <c r="A12" s="191"/>
      <c r="B12" s="44"/>
      <c r="C12" s="44"/>
      <c r="D12" s="44"/>
      <c r="E12" s="44"/>
      <c r="F12" s="44"/>
      <c r="G12" s="45"/>
      <c r="H12" s="44"/>
      <c r="I12" s="44"/>
      <c r="J12" s="44"/>
      <c r="K12" s="44"/>
      <c r="L12" s="44"/>
      <c r="M12" s="44"/>
      <c r="N12" s="44"/>
      <c r="O12" s="44"/>
      <c r="P12" s="44"/>
      <c r="Q12" s="45"/>
      <c r="R12" s="47"/>
      <c r="S12" s="47"/>
      <c r="T12" s="47"/>
      <c r="U12" s="47"/>
      <c r="V12" s="43"/>
      <c r="W12" s="86"/>
      <c r="X12" s="46"/>
    </row>
    <row r="13" spans="1:26" s="1" customFormat="1" x14ac:dyDescent="0.2">
      <c r="A13" s="191" t="s">
        <v>44</v>
      </c>
      <c r="B13" s="38"/>
      <c r="C13" s="38"/>
      <c r="D13" s="38"/>
      <c r="E13" s="38"/>
      <c r="F13" s="38"/>
      <c r="G13" s="39"/>
      <c r="H13" s="38"/>
      <c r="I13" s="38"/>
      <c r="J13" s="38"/>
      <c r="K13" s="38"/>
      <c r="L13" s="38"/>
      <c r="M13" s="38"/>
      <c r="N13" s="38"/>
      <c r="O13" s="38"/>
      <c r="P13" s="38"/>
      <c r="Q13" s="39"/>
      <c r="R13" s="39"/>
      <c r="S13" s="39"/>
      <c r="T13" s="39"/>
      <c r="U13" s="39"/>
      <c r="V13" s="39"/>
      <c r="W13" s="83"/>
      <c r="X13" s="41"/>
      <c r="Z13" s="220"/>
    </row>
    <row r="14" spans="1:26" s="1" customFormat="1" x14ac:dyDescent="0.2">
      <c r="A14" s="191" t="s">
        <v>42</v>
      </c>
      <c r="B14" s="141"/>
      <c r="C14" s="141"/>
      <c r="D14" s="141"/>
      <c r="E14" s="141"/>
      <c r="F14" s="141"/>
      <c r="G14" s="39"/>
      <c r="H14" s="141"/>
      <c r="I14" s="141"/>
      <c r="J14" s="141"/>
      <c r="K14" s="141"/>
      <c r="L14" s="141"/>
      <c r="M14" s="141"/>
      <c r="N14" s="141"/>
      <c r="O14" s="141"/>
      <c r="P14" s="141"/>
      <c r="Q14" s="39"/>
      <c r="R14" s="39"/>
      <c r="S14" s="39"/>
      <c r="T14" s="39"/>
      <c r="U14" s="39"/>
      <c r="V14" s="226"/>
      <c r="W14" s="83"/>
      <c r="X14" s="41"/>
    </row>
    <row r="15" spans="1:26" s="1" customFormat="1" x14ac:dyDescent="0.2">
      <c r="A15" s="191"/>
      <c r="B15" s="43"/>
      <c r="C15" s="43"/>
      <c r="D15" s="43"/>
      <c r="E15" s="43"/>
      <c r="F15" s="43"/>
      <c r="G15" s="47"/>
      <c r="H15" s="43"/>
      <c r="I15" s="43"/>
      <c r="J15" s="43"/>
      <c r="K15" s="43"/>
      <c r="L15" s="43"/>
      <c r="M15" s="43"/>
      <c r="N15" s="43"/>
      <c r="O15" s="43"/>
      <c r="P15" s="43"/>
      <c r="Q15" s="47"/>
      <c r="R15" s="47"/>
      <c r="S15" s="47"/>
      <c r="T15" s="47"/>
      <c r="U15" s="47"/>
      <c r="V15" s="43"/>
      <c r="W15" s="87"/>
      <c r="X15" s="46"/>
    </row>
    <row r="16" spans="1:26" s="1" customFormat="1" x14ac:dyDescent="0.2">
      <c r="A16" s="191" t="s">
        <v>45</v>
      </c>
      <c r="B16" s="38"/>
      <c r="C16" s="38"/>
      <c r="D16" s="38"/>
      <c r="E16" s="38"/>
      <c r="F16" s="38"/>
      <c r="G16" s="39"/>
      <c r="H16" s="38"/>
      <c r="I16" s="38"/>
      <c r="J16" s="38"/>
      <c r="K16" s="38"/>
      <c r="L16" s="38"/>
      <c r="M16" s="38"/>
      <c r="N16" s="38"/>
      <c r="O16" s="38"/>
      <c r="P16" s="38"/>
      <c r="Q16" s="39"/>
      <c r="R16" s="39"/>
      <c r="S16" s="39"/>
      <c r="T16" s="39"/>
      <c r="U16" s="39"/>
      <c r="V16" s="39"/>
      <c r="W16" s="83"/>
      <c r="X16" s="41"/>
      <c r="Z16" s="220"/>
    </row>
    <row r="17" spans="1:26" s="1" customFormat="1" x14ac:dyDescent="0.2">
      <c r="A17" s="191" t="s">
        <v>42</v>
      </c>
      <c r="B17" s="141"/>
      <c r="C17" s="141"/>
      <c r="D17" s="141"/>
      <c r="E17" s="141"/>
      <c r="F17" s="141"/>
      <c r="G17" s="39"/>
      <c r="H17" s="141"/>
      <c r="I17" s="141"/>
      <c r="J17" s="141"/>
      <c r="K17" s="141"/>
      <c r="L17" s="141"/>
      <c r="M17" s="141"/>
      <c r="N17" s="141"/>
      <c r="O17" s="141"/>
      <c r="P17" s="141"/>
      <c r="Q17" s="39"/>
      <c r="R17" s="39"/>
      <c r="S17" s="39"/>
      <c r="T17" s="39"/>
      <c r="U17" s="39"/>
      <c r="V17" s="39"/>
      <c r="W17" s="140"/>
      <c r="X17" s="41"/>
    </row>
    <row r="18" spans="1:26" s="1" customFormat="1" x14ac:dyDescent="0.2">
      <c r="A18" s="191"/>
      <c r="B18" s="44"/>
      <c r="C18" s="44"/>
      <c r="D18" s="44"/>
      <c r="E18" s="44"/>
      <c r="F18" s="44"/>
      <c r="G18" s="45"/>
      <c r="H18" s="44"/>
      <c r="I18" s="44"/>
      <c r="J18" s="44"/>
      <c r="K18" s="44"/>
      <c r="L18" s="44"/>
      <c r="M18" s="44"/>
      <c r="N18" s="44"/>
      <c r="O18" s="44"/>
      <c r="P18" s="44"/>
      <c r="Q18" s="45"/>
      <c r="R18" s="47"/>
      <c r="S18" s="47"/>
      <c r="T18" s="47"/>
      <c r="U18" s="47"/>
      <c r="V18" s="43"/>
      <c r="W18" s="86"/>
      <c r="X18" s="46"/>
    </row>
    <row r="19" spans="1:26" s="1" customFormat="1" x14ac:dyDescent="0.2">
      <c r="A19" s="191" t="s">
        <v>46</v>
      </c>
      <c r="B19" s="38"/>
      <c r="C19" s="38"/>
      <c r="D19" s="38"/>
      <c r="E19" s="38"/>
      <c r="F19" s="38"/>
      <c r="G19" s="39"/>
      <c r="H19" s="38"/>
      <c r="I19" s="38"/>
      <c r="J19" s="38"/>
      <c r="K19" s="38"/>
      <c r="L19" s="38"/>
      <c r="M19" s="38"/>
      <c r="N19" s="38"/>
      <c r="O19" s="38"/>
      <c r="P19" s="38"/>
      <c r="Q19" s="39"/>
      <c r="R19" s="39"/>
      <c r="S19" s="39"/>
      <c r="T19" s="39"/>
      <c r="U19" s="39"/>
      <c r="V19" s="39"/>
      <c r="W19" s="83"/>
      <c r="X19" s="41"/>
      <c r="Z19" s="220"/>
    </row>
    <row r="20" spans="1:26" s="1" customFormat="1" x14ac:dyDescent="0.2">
      <c r="A20" s="191" t="s">
        <v>42</v>
      </c>
      <c r="B20" s="141"/>
      <c r="C20" s="141"/>
      <c r="D20" s="141"/>
      <c r="E20" s="141"/>
      <c r="F20" s="141"/>
      <c r="G20" s="39"/>
      <c r="H20" s="141"/>
      <c r="I20" s="141"/>
      <c r="J20" s="141"/>
      <c r="K20" s="141"/>
      <c r="L20" s="141"/>
      <c r="M20" s="141"/>
      <c r="N20" s="141"/>
      <c r="O20" s="141"/>
      <c r="P20" s="141"/>
      <c r="Q20" s="39"/>
      <c r="R20" s="39"/>
      <c r="S20" s="39"/>
      <c r="T20" s="39"/>
      <c r="U20" s="39"/>
      <c r="V20" s="39"/>
      <c r="W20" s="140"/>
      <c r="X20" s="41"/>
    </row>
    <row r="21" spans="1:26" s="1" customFormat="1" x14ac:dyDescent="0.2">
      <c r="A21" s="191"/>
      <c r="B21" s="44"/>
      <c r="C21" s="44"/>
      <c r="D21" s="44"/>
      <c r="E21" s="44"/>
      <c r="F21" s="44"/>
      <c r="G21" s="45"/>
      <c r="H21" s="44"/>
      <c r="I21" s="44"/>
      <c r="J21" s="44"/>
      <c r="K21" s="44"/>
      <c r="L21" s="44"/>
      <c r="M21" s="44"/>
      <c r="N21" s="44"/>
      <c r="O21" s="44"/>
      <c r="P21" s="44"/>
      <c r="Q21" s="45"/>
      <c r="R21" s="47"/>
      <c r="S21" s="47"/>
      <c r="T21" s="47"/>
      <c r="U21" s="47"/>
      <c r="V21" s="43"/>
      <c r="W21" s="86"/>
      <c r="X21" s="46"/>
    </row>
    <row r="22" spans="1:26" s="1" customFormat="1" x14ac:dyDescent="0.2">
      <c r="A22" s="191" t="s">
        <v>47</v>
      </c>
      <c r="B22" s="38"/>
      <c r="C22" s="38"/>
      <c r="D22" s="38"/>
      <c r="E22" s="38"/>
      <c r="F22" s="38"/>
      <c r="G22" s="39"/>
      <c r="H22" s="38"/>
      <c r="I22" s="38"/>
      <c r="J22" s="38"/>
      <c r="K22" s="38"/>
      <c r="L22" s="38"/>
      <c r="M22" s="38"/>
      <c r="N22" s="38"/>
      <c r="O22" s="38"/>
      <c r="P22" s="38"/>
      <c r="Q22" s="39"/>
      <c r="R22" s="39"/>
      <c r="S22" s="39"/>
      <c r="T22" s="39"/>
      <c r="U22" s="39"/>
      <c r="V22" s="39"/>
      <c r="W22" s="83"/>
      <c r="X22" s="41"/>
      <c r="Z22" s="220"/>
    </row>
    <row r="23" spans="1:26" s="1" customFormat="1" x14ac:dyDescent="0.2">
      <c r="A23" s="191" t="s">
        <v>42</v>
      </c>
      <c r="B23" s="141"/>
      <c r="C23" s="141"/>
      <c r="D23" s="141"/>
      <c r="E23" s="141"/>
      <c r="F23" s="141"/>
      <c r="G23" s="39"/>
      <c r="H23" s="141"/>
      <c r="I23" s="141"/>
      <c r="J23" s="141"/>
      <c r="K23" s="141"/>
      <c r="L23" s="141"/>
      <c r="M23" s="141"/>
      <c r="N23" s="141"/>
      <c r="O23" s="141"/>
      <c r="P23" s="141"/>
      <c r="Q23" s="39"/>
      <c r="R23" s="39"/>
      <c r="S23" s="39"/>
      <c r="T23" s="39"/>
      <c r="U23" s="39"/>
      <c r="V23" s="39"/>
      <c r="W23" s="140"/>
      <c r="X23" s="41"/>
      <c r="Z23" s="220"/>
    </row>
    <row r="24" spans="1:26" s="1" customFormat="1" x14ac:dyDescent="0.2">
      <c r="A24" s="191"/>
      <c r="B24" s="43"/>
      <c r="C24" s="43"/>
      <c r="D24" s="43"/>
      <c r="E24" s="43"/>
      <c r="F24" s="43"/>
      <c r="G24" s="47"/>
      <c r="H24" s="43"/>
      <c r="I24" s="43"/>
      <c r="J24" s="43"/>
      <c r="K24" s="43"/>
      <c r="L24" s="43"/>
      <c r="M24" s="43"/>
      <c r="N24" s="43"/>
      <c r="O24" s="43"/>
      <c r="P24" s="43"/>
      <c r="Q24" s="47"/>
      <c r="R24" s="47"/>
      <c r="S24" s="47"/>
      <c r="T24" s="47"/>
      <c r="U24" s="47"/>
      <c r="V24" s="43"/>
      <c r="W24" s="87"/>
      <c r="X24" s="46"/>
    </row>
    <row r="25" spans="1:26" s="1" customFormat="1" x14ac:dyDescent="0.2">
      <c r="A25" s="191" t="s">
        <v>48</v>
      </c>
      <c r="B25" s="91">
        <v>0</v>
      </c>
      <c r="C25" s="91">
        <v>2514000</v>
      </c>
      <c r="D25" s="91">
        <v>3384000</v>
      </c>
      <c r="E25" s="91">
        <v>5517000</v>
      </c>
      <c r="F25" s="91">
        <v>2712000</v>
      </c>
      <c r="G25" s="180">
        <f>SUM(B25:F25)</f>
        <v>14127000</v>
      </c>
      <c r="H25" s="91">
        <v>5268000</v>
      </c>
      <c r="I25" s="91">
        <v>3366000</v>
      </c>
      <c r="J25" s="91">
        <v>1395000</v>
      </c>
      <c r="K25" s="91">
        <v>1179000</v>
      </c>
      <c r="L25" s="91">
        <v>3024000</v>
      </c>
      <c r="M25" s="91">
        <v>166000</v>
      </c>
      <c r="N25" s="91">
        <v>0</v>
      </c>
      <c r="O25" s="91">
        <v>3438000</v>
      </c>
      <c r="P25" s="91">
        <v>0</v>
      </c>
      <c r="Q25" s="180">
        <f>SUM(H25:P25)</f>
        <v>17836000</v>
      </c>
      <c r="R25" s="180">
        <f>8433000+371930</f>
        <v>8804930</v>
      </c>
      <c r="S25" s="91">
        <v>5851470</v>
      </c>
      <c r="T25" s="86">
        <v>371930</v>
      </c>
      <c r="U25" s="86">
        <v>0</v>
      </c>
      <c r="V25" s="186"/>
      <c r="W25" s="186">
        <f>R25+G25+S25+T25+U25+V25</f>
        <v>29155330</v>
      </c>
      <c r="X25" s="41"/>
      <c r="Z25" s="220"/>
    </row>
    <row r="26" spans="1:26" s="1" customFormat="1" x14ac:dyDescent="0.2">
      <c r="A26" s="191" t="s">
        <v>42</v>
      </c>
      <c r="B26" s="91">
        <f t="shared" ref="B26:W26" si="0">B23+B25</f>
        <v>0</v>
      </c>
      <c r="C26" s="91">
        <f t="shared" si="0"/>
        <v>2514000</v>
      </c>
      <c r="D26" s="91">
        <f t="shared" si="0"/>
        <v>3384000</v>
      </c>
      <c r="E26" s="91">
        <f t="shared" si="0"/>
        <v>5517000</v>
      </c>
      <c r="F26" s="91">
        <f t="shared" si="0"/>
        <v>2712000</v>
      </c>
      <c r="G26" s="91">
        <f t="shared" si="0"/>
        <v>14127000</v>
      </c>
      <c r="H26" s="91">
        <f t="shared" si="0"/>
        <v>5268000</v>
      </c>
      <c r="I26" s="91">
        <f t="shared" si="0"/>
        <v>3366000</v>
      </c>
      <c r="J26" s="91">
        <f t="shared" si="0"/>
        <v>1395000</v>
      </c>
      <c r="K26" s="91">
        <f t="shared" si="0"/>
        <v>1179000</v>
      </c>
      <c r="L26" s="91">
        <f t="shared" si="0"/>
        <v>3024000</v>
      </c>
      <c r="M26" s="91">
        <f t="shared" si="0"/>
        <v>166000</v>
      </c>
      <c r="N26" s="91">
        <f t="shared" si="0"/>
        <v>0</v>
      </c>
      <c r="O26" s="91">
        <f t="shared" si="0"/>
        <v>3438000</v>
      </c>
      <c r="P26" s="91">
        <f t="shared" si="0"/>
        <v>0</v>
      </c>
      <c r="Q26" s="91">
        <f t="shared" si="0"/>
        <v>17836000</v>
      </c>
      <c r="R26" s="91">
        <f t="shared" si="0"/>
        <v>8804930</v>
      </c>
      <c r="S26" s="91">
        <f t="shared" si="0"/>
        <v>5851470</v>
      </c>
      <c r="T26" s="91">
        <f t="shared" si="0"/>
        <v>371930</v>
      </c>
      <c r="U26" s="91">
        <f t="shared" si="0"/>
        <v>0</v>
      </c>
      <c r="V26" s="91">
        <f t="shared" si="0"/>
        <v>0</v>
      </c>
      <c r="W26" s="91">
        <f t="shared" si="0"/>
        <v>29155330</v>
      </c>
      <c r="X26" s="41"/>
    </row>
    <row r="27" spans="1:26" s="1" customFormat="1" x14ac:dyDescent="0.2">
      <c r="A27" s="191"/>
      <c r="B27" s="52"/>
      <c r="C27" s="52"/>
      <c r="D27" s="52"/>
      <c r="E27" s="52"/>
      <c r="F27" s="52"/>
      <c r="G27" s="180"/>
      <c r="H27" s="91"/>
      <c r="I27" s="52"/>
      <c r="J27" s="52"/>
      <c r="K27" s="52"/>
      <c r="L27" s="52"/>
      <c r="M27" s="52"/>
      <c r="N27" s="52"/>
      <c r="O27" s="52"/>
      <c r="P27" s="52"/>
      <c r="Q27" s="52"/>
      <c r="R27" s="180"/>
      <c r="S27" s="180"/>
      <c r="T27" s="44"/>
      <c r="U27" s="86"/>
      <c r="V27" s="186"/>
      <c r="W27" s="186"/>
      <c r="X27" s="46"/>
    </row>
    <row r="28" spans="1:26" s="1" customFormat="1" x14ac:dyDescent="0.2">
      <c r="A28" s="191" t="s">
        <v>49</v>
      </c>
      <c r="B28" s="91">
        <v>0</v>
      </c>
      <c r="C28" s="91">
        <v>2364000</v>
      </c>
      <c r="D28" s="91">
        <v>3924000</v>
      </c>
      <c r="E28" s="91">
        <v>6399000</v>
      </c>
      <c r="F28" s="91">
        <v>3006000</v>
      </c>
      <c r="G28" s="180">
        <f>SUM(B28:F28)</f>
        <v>15693000</v>
      </c>
      <c r="H28" s="91">
        <v>4524000</v>
      </c>
      <c r="I28" s="91">
        <v>513000</v>
      </c>
      <c r="J28" s="91">
        <v>1035000</v>
      </c>
      <c r="K28" s="91">
        <v>954000</v>
      </c>
      <c r="L28" s="91">
        <v>2970000</v>
      </c>
      <c r="M28" s="91">
        <v>628000</v>
      </c>
      <c r="N28" s="91">
        <v>0</v>
      </c>
      <c r="O28" s="91">
        <v>3558000</v>
      </c>
      <c r="P28" s="91">
        <v>0</v>
      </c>
      <c r="Q28" s="180">
        <f>SUM(H28:P28)</f>
        <v>14182000</v>
      </c>
      <c r="R28" s="180">
        <f>8606478-T28*0</f>
        <v>8606478</v>
      </c>
      <c r="S28" s="91">
        <v>7071879</v>
      </c>
      <c r="T28" s="86">
        <v>242478</v>
      </c>
      <c r="U28" s="86">
        <v>0</v>
      </c>
      <c r="V28" s="186"/>
      <c r="W28" s="186">
        <f>R28+G28+S28+T28+U28+V28</f>
        <v>31613835</v>
      </c>
      <c r="X28" s="41"/>
    </row>
    <row r="29" spans="1:26" s="1" customFormat="1" x14ac:dyDescent="0.2">
      <c r="A29" s="191" t="s">
        <v>42</v>
      </c>
      <c r="B29" s="91">
        <f t="shared" ref="B29:W29" si="1">B26+B28</f>
        <v>0</v>
      </c>
      <c r="C29" s="91">
        <f t="shared" si="1"/>
        <v>4878000</v>
      </c>
      <c r="D29" s="91">
        <f t="shared" si="1"/>
        <v>7308000</v>
      </c>
      <c r="E29" s="91">
        <f t="shared" si="1"/>
        <v>11916000</v>
      </c>
      <c r="F29" s="91">
        <f t="shared" si="1"/>
        <v>5718000</v>
      </c>
      <c r="G29" s="91">
        <f t="shared" si="1"/>
        <v>29820000</v>
      </c>
      <c r="H29" s="91">
        <f t="shared" si="1"/>
        <v>9792000</v>
      </c>
      <c r="I29" s="91">
        <f t="shared" si="1"/>
        <v>3879000</v>
      </c>
      <c r="J29" s="91">
        <f t="shared" si="1"/>
        <v>2430000</v>
      </c>
      <c r="K29" s="91">
        <f t="shared" si="1"/>
        <v>2133000</v>
      </c>
      <c r="L29" s="91">
        <f t="shared" si="1"/>
        <v>5994000</v>
      </c>
      <c r="M29" s="91">
        <f t="shared" si="1"/>
        <v>794000</v>
      </c>
      <c r="N29" s="91">
        <f t="shared" si="1"/>
        <v>0</v>
      </c>
      <c r="O29" s="91">
        <f t="shared" si="1"/>
        <v>6996000</v>
      </c>
      <c r="P29" s="91">
        <f t="shared" si="1"/>
        <v>0</v>
      </c>
      <c r="Q29" s="91">
        <f t="shared" si="1"/>
        <v>32018000</v>
      </c>
      <c r="R29" s="91">
        <f t="shared" si="1"/>
        <v>17411408</v>
      </c>
      <c r="S29" s="91">
        <f t="shared" si="1"/>
        <v>12923349</v>
      </c>
      <c r="T29" s="91">
        <f t="shared" si="1"/>
        <v>614408</v>
      </c>
      <c r="U29" s="91">
        <f t="shared" si="1"/>
        <v>0</v>
      </c>
      <c r="V29" s="91">
        <f t="shared" si="1"/>
        <v>0</v>
      </c>
      <c r="W29" s="91">
        <f t="shared" si="1"/>
        <v>60769165</v>
      </c>
      <c r="X29" s="41"/>
    </row>
    <row r="30" spans="1:26" s="1" customFormat="1" x14ac:dyDescent="0.2">
      <c r="A30" s="191"/>
      <c r="B30" s="52"/>
      <c r="C30" s="52"/>
      <c r="D30" s="52"/>
      <c r="E30" s="52"/>
      <c r="F30" s="52"/>
      <c r="G30" s="180"/>
      <c r="H30" s="91"/>
      <c r="I30" s="52"/>
      <c r="J30" s="52"/>
      <c r="K30" s="52"/>
      <c r="L30" s="52"/>
      <c r="M30" s="52"/>
      <c r="N30" s="52"/>
      <c r="O30" s="52"/>
      <c r="P30" s="52"/>
      <c r="Q30" s="52"/>
      <c r="R30" s="180"/>
      <c r="S30" s="180"/>
      <c r="T30" s="44"/>
      <c r="U30" s="86"/>
      <c r="V30" s="186"/>
      <c r="W30" s="186"/>
      <c r="X30" s="46"/>
    </row>
    <row r="31" spans="1:26" s="1" customFormat="1" x14ac:dyDescent="0.2">
      <c r="A31" s="191" t="s">
        <v>50</v>
      </c>
      <c r="B31" s="91">
        <v>0</v>
      </c>
      <c r="C31" s="91">
        <v>1380000</v>
      </c>
      <c r="D31" s="91">
        <v>5340000</v>
      </c>
      <c r="E31" s="91">
        <v>5805000</v>
      </c>
      <c r="F31" s="91">
        <v>2916000</v>
      </c>
      <c r="G31" s="180">
        <f>SUM(B31:F31)</f>
        <v>15441000</v>
      </c>
      <c r="H31" s="91">
        <v>5040000</v>
      </c>
      <c r="I31" s="91">
        <v>1395000</v>
      </c>
      <c r="J31" s="91">
        <v>960000</v>
      </c>
      <c r="K31" s="91">
        <v>936000</v>
      </c>
      <c r="L31" s="91">
        <v>3303000</v>
      </c>
      <c r="M31" s="91">
        <v>690000</v>
      </c>
      <c r="N31" s="91">
        <v>0</v>
      </c>
      <c r="O31" s="91">
        <v>3072000</v>
      </c>
      <c r="P31" s="91">
        <v>0</v>
      </c>
      <c r="Q31" s="180">
        <f>SUM(H31:P31)</f>
        <v>15396000</v>
      </c>
      <c r="R31" s="180">
        <f>10207130-T31*0</f>
        <v>10207130</v>
      </c>
      <c r="S31" s="91">
        <v>5407016</v>
      </c>
      <c r="T31" s="86">
        <v>367130</v>
      </c>
      <c r="U31" s="86">
        <v>0</v>
      </c>
      <c r="V31" s="186"/>
      <c r="W31" s="186">
        <f>R31+G31+S31+T31+U31+V31</f>
        <v>31422276</v>
      </c>
      <c r="X31" s="41"/>
    </row>
    <row r="32" spans="1:26" s="1" customFormat="1" x14ac:dyDescent="0.2">
      <c r="A32" s="191" t="s">
        <v>42</v>
      </c>
      <c r="B32" s="91">
        <f t="shared" ref="B32:W32" si="2">B29+B31</f>
        <v>0</v>
      </c>
      <c r="C32" s="91">
        <f t="shared" si="2"/>
        <v>6258000</v>
      </c>
      <c r="D32" s="91">
        <f t="shared" si="2"/>
        <v>12648000</v>
      </c>
      <c r="E32" s="91">
        <f t="shared" si="2"/>
        <v>17721000</v>
      </c>
      <c r="F32" s="91">
        <f t="shared" si="2"/>
        <v>8634000</v>
      </c>
      <c r="G32" s="91">
        <f t="shared" si="2"/>
        <v>45261000</v>
      </c>
      <c r="H32" s="91">
        <f t="shared" si="2"/>
        <v>14832000</v>
      </c>
      <c r="I32" s="91">
        <f t="shared" si="2"/>
        <v>5274000</v>
      </c>
      <c r="J32" s="91">
        <f t="shared" si="2"/>
        <v>3390000</v>
      </c>
      <c r="K32" s="91">
        <f t="shared" si="2"/>
        <v>3069000</v>
      </c>
      <c r="L32" s="91">
        <f t="shared" si="2"/>
        <v>9297000</v>
      </c>
      <c r="M32" s="91">
        <f t="shared" si="2"/>
        <v>1484000</v>
      </c>
      <c r="N32" s="91">
        <f t="shared" si="2"/>
        <v>0</v>
      </c>
      <c r="O32" s="91">
        <f t="shared" si="2"/>
        <v>10068000</v>
      </c>
      <c r="P32" s="91">
        <f t="shared" si="2"/>
        <v>0</v>
      </c>
      <c r="Q32" s="91">
        <f t="shared" si="2"/>
        <v>47414000</v>
      </c>
      <c r="R32" s="91">
        <f t="shared" si="2"/>
        <v>27618538</v>
      </c>
      <c r="S32" s="91">
        <f t="shared" si="2"/>
        <v>18330365</v>
      </c>
      <c r="T32" s="91">
        <f t="shared" si="2"/>
        <v>981538</v>
      </c>
      <c r="U32" s="91">
        <f t="shared" si="2"/>
        <v>0</v>
      </c>
      <c r="V32" s="91">
        <f t="shared" si="2"/>
        <v>0</v>
      </c>
      <c r="W32" s="91">
        <f t="shared" si="2"/>
        <v>92191441</v>
      </c>
      <c r="X32" s="41"/>
    </row>
    <row r="33" spans="1:24" s="1" customFormat="1" x14ac:dyDescent="0.2">
      <c r="A33" s="191"/>
      <c r="B33" s="52"/>
      <c r="C33" s="52"/>
      <c r="D33" s="52"/>
      <c r="E33" s="52"/>
      <c r="F33" s="52"/>
      <c r="G33" s="180"/>
      <c r="H33" s="91"/>
      <c r="I33" s="52"/>
      <c r="J33" s="52"/>
      <c r="K33" s="52"/>
      <c r="L33" s="52"/>
      <c r="M33" s="52"/>
      <c r="N33" s="52"/>
      <c r="O33" s="52"/>
      <c r="P33" s="52"/>
      <c r="Q33" s="52"/>
      <c r="R33" s="180"/>
      <c r="S33" s="180"/>
      <c r="T33" s="44"/>
      <c r="U33" s="86"/>
      <c r="V33" s="186"/>
      <c r="W33" s="186"/>
      <c r="X33" s="46"/>
    </row>
    <row r="34" spans="1:24" s="1" customFormat="1" x14ac:dyDescent="0.2">
      <c r="A34" s="191" t="s">
        <v>51</v>
      </c>
      <c r="B34" s="91">
        <f>'HYD  ENG'!B770</f>
        <v>0</v>
      </c>
      <c r="C34" s="91">
        <f>'HYD  ENG'!C770</f>
        <v>0</v>
      </c>
      <c r="D34" s="91">
        <f>'HYD  ENG'!D770</f>
        <v>5388000</v>
      </c>
      <c r="E34" s="91">
        <f>'HYD  ENG'!E770</f>
        <v>6165000</v>
      </c>
      <c r="F34" s="91">
        <f>'HYD  ENG'!F770</f>
        <v>2406000</v>
      </c>
      <c r="G34" s="91">
        <f>'HYD  ENG'!G770</f>
        <v>13959000</v>
      </c>
      <c r="H34" s="91">
        <f>'HYD  ENG'!I770</f>
        <v>5412000</v>
      </c>
      <c r="I34" s="91">
        <f>'HYD  ENG'!J770</f>
        <v>3330000</v>
      </c>
      <c r="J34" s="91">
        <f>'HYD  ENG'!K770</f>
        <v>477000</v>
      </c>
      <c r="K34" s="91">
        <f>'HYD  ENG'!L770</f>
        <v>486000</v>
      </c>
      <c r="L34" s="91">
        <f>'HYD  ENG'!M770</f>
        <v>3051000</v>
      </c>
      <c r="M34" s="91">
        <f>'HYD  ENG'!N770</f>
        <v>282000</v>
      </c>
      <c r="N34" s="91">
        <f>'HYD  ENG'!O770</f>
        <v>0</v>
      </c>
      <c r="O34" s="91">
        <f>'HYD  ENG'!P770</f>
        <v>1302000</v>
      </c>
      <c r="P34" s="91">
        <f>'HYD  ENG'!Q770</f>
        <v>0</v>
      </c>
      <c r="Q34" s="180">
        <f>SUM(H34:P34)</f>
        <v>14340000</v>
      </c>
      <c r="R34" s="91">
        <f>'HYD  ENG'!S770</f>
        <v>7962140</v>
      </c>
      <c r="S34" s="91">
        <f>'HYD  ENG'!T770</f>
        <v>4584447</v>
      </c>
      <c r="T34" s="91">
        <f>'HYD  ENG'!U770</f>
        <v>225140</v>
      </c>
      <c r="U34" s="91">
        <f>'HYD  ENG'!V770</f>
        <v>0</v>
      </c>
      <c r="V34" s="91">
        <v>0</v>
      </c>
      <c r="W34" s="91">
        <f>'HYD  ENG'!W770</f>
        <v>40845587</v>
      </c>
      <c r="X34" s="41"/>
    </row>
    <row r="35" spans="1:24" s="1" customFormat="1" x14ac:dyDescent="0.2">
      <c r="A35" s="191" t="s">
        <v>42</v>
      </c>
      <c r="B35" s="91">
        <f t="shared" ref="B35:W35" si="3">B32+B34</f>
        <v>0</v>
      </c>
      <c r="C35" s="91">
        <f t="shared" si="3"/>
        <v>6258000</v>
      </c>
      <c r="D35" s="91">
        <f t="shared" si="3"/>
        <v>18036000</v>
      </c>
      <c r="E35" s="91">
        <f t="shared" si="3"/>
        <v>23886000</v>
      </c>
      <c r="F35" s="91">
        <f t="shared" si="3"/>
        <v>11040000</v>
      </c>
      <c r="G35" s="91">
        <f t="shared" si="3"/>
        <v>59220000</v>
      </c>
      <c r="H35" s="91">
        <f t="shared" si="3"/>
        <v>20244000</v>
      </c>
      <c r="I35" s="91">
        <f>I32+H34</f>
        <v>10686000</v>
      </c>
      <c r="J35" s="91">
        <f t="shared" si="3"/>
        <v>3867000</v>
      </c>
      <c r="K35" s="91">
        <f t="shared" si="3"/>
        <v>3555000</v>
      </c>
      <c r="L35" s="91">
        <f t="shared" si="3"/>
        <v>12348000</v>
      </c>
      <c r="M35" s="91">
        <f t="shared" si="3"/>
        <v>1766000</v>
      </c>
      <c r="N35" s="91">
        <f t="shared" si="3"/>
        <v>0</v>
      </c>
      <c r="O35" s="91">
        <f t="shared" si="3"/>
        <v>11370000</v>
      </c>
      <c r="P35" s="91">
        <f t="shared" si="3"/>
        <v>0</v>
      </c>
      <c r="Q35" s="91">
        <f t="shared" si="3"/>
        <v>61754000</v>
      </c>
      <c r="R35" s="91">
        <f t="shared" si="3"/>
        <v>35580678</v>
      </c>
      <c r="S35" s="91">
        <f t="shared" si="3"/>
        <v>22914812</v>
      </c>
      <c r="T35" s="91">
        <f t="shared" si="3"/>
        <v>1206678</v>
      </c>
      <c r="U35" s="91">
        <f t="shared" si="3"/>
        <v>0</v>
      </c>
      <c r="V35" s="91">
        <f t="shared" si="3"/>
        <v>0</v>
      </c>
      <c r="W35" s="91">
        <f t="shared" si="3"/>
        <v>133037028</v>
      </c>
      <c r="X35" s="41"/>
    </row>
    <row r="36" spans="1:24" s="1" customFormat="1" x14ac:dyDescent="0.2">
      <c r="A36" s="191"/>
      <c r="B36" s="52"/>
      <c r="C36" s="52"/>
      <c r="D36" s="52"/>
      <c r="E36" s="52"/>
      <c r="F36" s="52"/>
      <c r="G36" s="180"/>
      <c r="H36" s="91"/>
      <c r="I36" s="52"/>
      <c r="J36" s="52"/>
      <c r="K36" s="52"/>
      <c r="L36" s="52"/>
      <c r="M36" s="52"/>
      <c r="N36" s="52"/>
      <c r="O36" s="52"/>
      <c r="P36" s="52"/>
      <c r="Q36" s="52"/>
      <c r="R36" s="180"/>
      <c r="S36" s="180"/>
      <c r="T36" s="44"/>
      <c r="U36" s="86"/>
      <c r="V36" s="186"/>
      <c r="W36" s="186"/>
      <c r="X36" s="46"/>
    </row>
    <row r="37" spans="1:24" s="1" customFormat="1" x14ac:dyDescent="0.2">
      <c r="A37" s="191" t="s">
        <v>52</v>
      </c>
      <c r="B37" s="91">
        <f>'HYD  ENG'!B773</f>
        <v>0</v>
      </c>
      <c r="C37" s="91">
        <f>'HYD  ENG'!C773</f>
        <v>85800</v>
      </c>
      <c r="D37" s="91">
        <f>'HYD  ENG'!D773</f>
        <v>4747500</v>
      </c>
      <c r="E37" s="91">
        <f>'HYD  ENG'!E773</f>
        <v>5324500</v>
      </c>
      <c r="F37" s="91">
        <f>'HYD  ENG'!F773</f>
        <v>2245500</v>
      </c>
      <c r="G37" s="91">
        <f>'HYD  ENG'!G773</f>
        <v>12403300</v>
      </c>
      <c r="H37" s="91">
        <f>'HYD  ENG'!H773</f>
        <v>0</v>
      </c>
      <c r="I37" s="91">
        <f>'HYD  ENG'!I773</f>
        <v>4980000</v>
      </c>
      <c r="J37" s="91">
        <f>'HYD  ENG'!J773</f>
        <v>3132000</v>
      </c>
      <c r="K37" s="91">
        <f>'HYD  ENG'!K773</f>
        <v>396000</v>
      </c>
      <c r="L37" s="91">
        <f>'HYD  ENG'!L773</f>
        <v>429000</v>
      </c>
      <c r="M37" s="91">
        <f>'HYD  ENG'!M773</f>
        <v>3276000</v>
      </c>
      <c r="N37" s="91">
        <f>'HYD  ENG'!N773</f>
        <v>254000</v>
      </c>
      <c r="O37" s="91">
        <f>'HYD  ENG'!O773</f>
        <v>0</v>
      </c>
      <c r="P37" s="91">
        <f>'HYD  ENG'!P773</f>
        <v>438000</v>
      </c>
      <c r="Q37" s="180">
        <f>SUM(H37:P37)</f>
        <v>12905000</v>
      </c>
      <c r="R37" s="91">
        <f>'HYD  ENG'!R773</f>
        <v>12905000</v>
      </c>
      <c r="S37" s="91">
        <f>'HYD  ENG'!S773</f>
        <v>7363790</v>
      </c>
      <c r="T37" s="91">
        <f>'HYD  ENG'!T773</f>
        <v>89</v>
      </c>
      <c r="U37" s="91">
        <f>'HYD  ENG'!U773</f>
        <v>276790</v>
      </c>
      <c r="V37" s="91">
        <f>'HYD  ENG'!V773</f>
        <v>0</v>
      </c>
      <c r="W37" s="91">
        <f>'HYD  ENG'!W773</f>
        <v>32672179</v>
      </c>
      <c r="X37" s="41"/>
    </row>
    <row r="38" spans="1:24" s="1" customFormat="1" x14ac:dyDescent="0.2">
      <c r="A38" s="191" t="s">
        <v>42</v>
      </c>
      <c r="B38" s="91">
        <f t="shared" ref="B38:W38" si="4">B35+B37</f>
        <v>0</v>
      </c>
      <c r="C38" s="91">
        <f t="shared" si="4"/>
        <v>6343800</v>
      </c>
      <c r="D38" s="91">
        <f t="shared" si="4"/>
        <v>22783500</v>
      </c>
      <c r="E38" s="91">
        <f t="shared" si="4"/>
        <v>29210500</v>
      </c>
      <c r="F38" s="91">
        <f t="shared" si="4"/>
        <v>13285500</v>
      </c>
      <c r="G38" s="91">
        <f t="shared" si="4"/>
        <v>71623300</v>
      </c>
      <c r="H38" s="91">
        <f t="shared" si="4"/>
        <v>20244000</v>
      </c>
      <c r="I38" s="91">
        <f t="shared" si="4"/>
        <v>15666000</v>
      </c>
      <c r="J38" s="91">
        <f t="shared" si="4"/>
        <v>6999000</v>
      </c>
      <c r="K38" s="91">
        <f t="shared" si="4"/>
        <v>3951000</v>
      </c>
      <c r="L38" s="91">
        <f t="shared" si="4"/>
        <v>12777000</v>
      </c>
      <c r="M38" s="91">
        <f t="shared" si="4"/>
        <v>5042000</v>
      </c>
      <c r="N38" s="91">
        <f t="shared" si="4"/>
        <v>254000</v>
      </c>
      <c r="O38" s="91">
        <f t="shared" si="4"/>
        <v>11370000</v>
      </c>
      <c r="P38" s="91">
        <f t="shared" si="4"/>
        <v>438000</v>
      </c>
      <c r="Q38" s="91">
        <f t="shared" si="4"/>
        <v>74659000</v>
      </c>
      <c r="R38" s="91">
        <f t="shared" si="4"/>
        <v>48485678</v>
      </c>
      <c r="S38" s="91">
        <f t="shared" si="4"/>
        <v>30278602</v>
      </c>
      <c r="T38" s="91">
        <f t="shared" si="4"/>
        <v>1206767</v>
      </c>
      <c r="U38" s="91">
        <f t="shared" si="4"/>
        <v>276790</v>
      </c>
      <c r="V38" s="91">
        <f t="shared" si="4"/>
        <v>0</v>
      </c>
      <c r="W38" s="91">
        <f t="shared" si="4"/>
        <v>165709207</v>
      </c>
      <c r="X38" s="41"/>
    </row>
    <row r="39" spans="1:24" s="1" customFormat="1" x14ac:dyDescent="0.2">
      <c r="A39" s="191"/>
      <c r="B39" s="52"/>
      <c r="C39" s="52"/>
      <c r="D39" s="52"/>
      <c r="E39" s="52"/>
      <c r="F39" s="52"/>
      <c r="G39" s="180"/>
      <c r="H39" s="91"/>
      <c r="I39" s="52"/>
      <c r="J39" s="52"/>
      <c r="K39" s="52"/>
      <c r="L39" s="52"/>
      <c r="M39" s="52"/>
      <c r="N39" s="52"/>
      <c r="O39" s="52"/>
      <c r="P39" s="52"/>
      <c r="Q39" s="52"/>
      <c r="R39" s="180"/>
      <c r="S39" s="180"/>
      <c r="T39" s="44"/>
      <c r="U39" s="86"/>
      <c r="V39" s="186"/>
      <c r="W39" s="186"/>
      <c r="X39" s="46"/>
    </row>
    <row r="40" spans="1:24" s="1" customFormat="1" x14ac:dyDescent="0.2">
      <c r="A40" s="191" t="s">
        <v>53</v>
      </c>
      <c r="B40" s="91">
        <f>'HYD  ENG'!B776</f>
        <v>0</v>
      </c>
      <c r="C40" s="91">
        <f>'HYD  ENG'!C776</f>
        <v>1771580</v>
      </c>
      <c r="D40" s="91">
        <f>'HYD  ENG'!D776</f>
        <v>5018669</v>
      </c>
      <c r="E40" s="91">
        <f>'HYD  ENG'!E776</f>
        <v>5737175</v>
      </c>
      <c r="F40" s="91">
        <f>'HYD  ENG'!F776</f>
        <v>1871660</v>
      </c>
      <c r="G40" s="91">
        <f>'HYD  ENG'!G776</f>
        <v>14399084</v>
      </c>
      <c r="H40" s="91">
        <f>'HYD  ENG'!H776</f>
        <v>0</v>
      </c>
      <c r="I40" s="91">
        <f>'HYD  ENG'!I776</f>
        <v>5256000</v>
      </c>
      <c r="J40" s="91">
        <f>'HYD  ENG'!J776</f>
        <v>3384000</v>
      </c>
      <c r="K40" s="91">
        <f>'HYD  ENG'!K776</f>
        <v>1248000</v>
      </c>
      <c r="L40" s="91">
        <f>'HYD  ENG'!L776</f>
        <v>1278000</v>
      </c>
      <c r="M40" s="91">
        <f>'HYD  ENG'!M776</f>
        <v>2745000</v>
      </c>
      <c r="N40" s="91">
        <f>'HYD  ENG'!N776</f>
        <v>150000</v>
      </c>
      <c r="O40" s="91">
        <f>'HYD  ENG'!O776</f>
        <v>0</v>
      </c>
      <c r="P40" s="91">
        <f>'HYD  ENG'!P776</f>
        <v>0</v>
      </c>
      <c r="Q40" s="180">
        <f>SUM(H40:P40)</f>
        <v>14061000</v>
      </c>
      <c r="R40" s="91">
        <f>'HYD  ENG'!R776</f>
        <v>14061000</v>
      </c>
      <c r="S40" s="91">
        <f>'HYD  ENG'!S776</f>
        <v>5572430</v>
      </c>
      <c r="T40" s="91">
        <f>'HYD  ENG'!T776</f>
        <v>0</v>
      </c>
      <c r="U40" s="91">
        <f>'HYD  ENG'!U776</f>
        <v>-12570</v>
      </c>
      <c r="V40" s="91">
        <f>'HYD  ENG'!V776</f>
        <v>0</v>
      </c>
      <c r="W40" s="91">
        <f>'HYD  ENG'!W776</f>
        <v>34032514</v>
      </c>
      <c r="X40" s="41"/>
    </row>
    <row r="41" spans="1:24" s="1" customFormat="1" ht="13.5" thickBot="1" x14ac:dyDescent="0.25">
      <c r="A41" s="192" t="s">
        <v>42</v>
      </c>
      <c r="B41" s="91">
        <f t="shared" ref="B41:W41" si="5">B38+B40</f>
        <v>0</v>
      </c>
      <c r="C41" s="91">
        <f t="shared" si="5"/>
        <v>8115380</v>
      </c>
      <c r="D41" s="91">
        <f t="shared" si="5"/>
        <v>27802169</v>
      </c>
      <c r="E41" s="91">
        <f t="shared" si="5"/>
        <v>34947675</v>
      </c>
      <c r="F41" s="91">
        <f t="shared" si="5"/>
        <v>15157160</v>
      </c>
      <c r="G41" s="91">
        <f t="shared" si="5"/>
        <v>86022384</v>
      </c>
      <c r="H41" s="91">
        <f t="shared" si="5"/>
        <v>20244000</v>
      </c>
      <c r="I41" s="91">
        <f t="shared" si="5"/>
        <v>20922000</v>
      </c>
      <c r="J41" s="91">
        <f t="shared" si="5"/>
        <v>10383000</v>
      </c>
      <c r="K41" s="91">
        <f t="shared" si="5"/>
        <v>5199000</v>
      </c>
      <c r="L41" s="91">
        <f t="shared" si="5"/>
        <v>14055000</v>
      </c>
      <c r="M41" s="91">
        <f t="shared" si="5"/>
        <v>7787000</v>
      </c>
      <c r="N41" s="91">
        <f t="shared" si="5"/>
        <v>404000</v>
      </c>
      <c r="O41" s="91">
        <f t="shared" si="5"/>
        <v>11370000</v>
      </c>
      <c r="P41" s="91">
        <f t="shared" si="5"/>
        <v>438000</v>
      </c>
      <c r="Q41" s="91">
        <f t="shared" si="5"/>
        <v>88720000</v>
      </c>
      <c r="R41" s="91">
        <f t="shared" si="5"/>
        <v>62546678</v>
      </c>
      <c r="S41" s="91">
        <f t="shared" si="5"/>
        <v>35851032</v>
      </c>
      <c r="T41" s="91">
        <f t="shared" si="5"/>
        <v>1206767</v>
      </c>
      <c r="U41" s="91">
        <f t="shared" si="5"/>
        <v>264220</v>
      </c>
      <c r="V41" s="91">
        <f t="shared" si="5"/>
        <v>0</v>
      </c>
      <c r="W41" s="91">
        <f t="shared" si="5"/>
        <v>199741721</v>
      </c>
      <c r="X41" s="51"/>
    </row>
    <row r="42" spans="1:24" s="1" customFormat="1" ht="13.5" thickBot="1" x14ac:dyDescent="0.25">
      <c r="A42" s="192" t="s">
        <v>42</v>
      </c>
      <c r="C42" s="90"/>
      <c r="D42" s="90"/>
      <c r="E42" s="90"/>
      <c r="F42" s="90"/>
      <c r="G42" s="90"/>
      <c r="I42" s="90"/>
      <c r="J42" s="90"/>
      <c r="K42" s="90"/>
      <c r="L42" s="90"/>
      <c r="M42" s="90"/>
      <c r="N42" s="90"/>
      <c r="O42" s="171"/>
      <c r="P42" s="90"/>
      <c r="Q42" s="52"/>
      <c r="S42" s="52"/>
      <c r="T42" s="52"/>
      <c r="U42" s="52"/>
      <c r="V42" s="52"/>
      <c r="W42" s="90"/>
      <c r="X42" s="91"/>
    </row>
    <row r="43" spans="1:24" s="1" customFormat="1" x14ac:dyDescent="0.2">
      <c r="P43"/>
      <c r="X43" s="9"/>
    </row>
  </sheetData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A43"/>
  <sheetViews>
    <sheetView topLeftCell="A25" workbookViewId="0">
      <selection activeCell="D26" sqref="D26"/>
    </sheetView>
  </sheetViews>
  <sheetFormatPr defaultRowHeight="12.75" x14ac:dyDescent="0.2"/>
  <cols>
    <col min="2" max="2" width="10.6640625" customWidth="1"/>
    <col min="3" max="3" width="11.1640625" customWidth="1"/>
    <col min="4" max="4" width="11.6640625" customWidth="1"/>
    <col min="5" max="5" width="12.1640625" customWidth="1"/>
    <col min="6" max="6" width="10.83203125" bestFit="1" customWidth="1"/>
    <col min="7" max="7" width="12.1640625" customWidth="1"/>
    <col min="8" max="8" width="10.6640625" customWidth="1"/>
    <col min="9" max="9" width="11.1640625" customWidth="1"/>
    <col min="10" max="11" width="10.6640625" customWidth="1"/>
    <col min="12" max="12" width="10.83203125" customWidth="1"/>
    <col min="13" max="13" width="9.83203125" customWidth="1"/>
    <col min="15" max="15" width="10.6640625" customWidth="1"/>
    <col min="17" max="18" width="12.33203125" bestFit="1" customWidth="1"/>
    <col min="19" max="19" width="12.1640625" customWidth="1"/>
    <col min="20" max="20" width="9.83203125" bestFit="1" customWidth="1"/>
    <col min="21" max="21" width="10.83203125" bestFit="1" customWidth="1"/>
    <col min="23" max="23" width="12.33203125" bestFit="1" customWidth="1"/>
  </cols>
  <sheetData>
    <row r="3" spans="1:27" s="1" customFormat="1" ht="13.5" thickBot="1" x14ac:dyDescent="0.25">
      <c r="A3" s="18"/>
      <c r="B3" s="61"/>
      <c r="C3" s="62"/>
      <c r="D3" s="63" t="s">
        <v>73</v>
      </c>
      <c r="E3" s="64"/>
      <c r="F3" s="64"/>
      <c r="G3" s="64"/>
      <c r="H3" s="61"/>
      <c r="I3" s="64"/>
      <c r="J3" s="64"/>
      <c r="K3" s="65" t="s">
        <v>74</v>
      </c>
      <c r="L3" s="64"/>
      <c r="M3" s="64"/>
      <c r="N3" s="64"/>
      <c r="O3" s="64"/>
      <c r="P3" s="64"/>
      <c r="Q3" s="138"/>
      <c r="R3" s="64"/>
      <c r="S3" s="64"/>
      <c r="T3" s="64"/>
      <c r="U3" s="64"/>
      <c r="V3" s="64"/>
      <c r="W3" s="66"/>
      <c r="X3" s="36" t="s">
        <v>60</v>
      </c>
    </row>
    <row r="4" spans="1:27" s="1" customFormat="1" ht="12" x14ac:dyDescent="0.2">
      <c r="A4" s="67"/>
      <c r="B4" s="68" t="s">
        <v>11</v>
      </c>
      <c r="C4" s="68" t="s">
        <v>12</v>
      </c>
      <c r="D4" s="68" t="s">
        <v>13</v>
      </c>
      <c r="E4" s="68" t="s">
        <v>14</v>
      </c>
      <c r="F4" s="68" t="s">
        <v>15</v>
      </c>
      <c r="G4" s="69" t="s">
        <v>16</v>
      </c>
      <c r="H4" s="68" t="s">
        <v>17</v>
      </c>
      <c r="I4" s="70"/>
      <c r="J4" s="70"/>
      <c r="K4" s="70"/>
      <c r="L4" s="70"/>
      <c r="M4" s="68" t="s">
        <v>18</v>
      </c>
      <c r="N4" s="68" t="s">
        <v>19</v>
      </c>
      <c r="O4" s="68" t="s">
        <v>20</v>
      </c>
      <c r="P4" s="68" t="s">
        <v>21</v>
      </c>
      <c r="Q4" s="69" t="s">
        <v>16</v>
      </c>
      <c r="R4" s="203" t="s">
        <v>69</v>
      </c>
      <c r="S4" s="202" t="s">
        <v>126</v>
      </c>
      <c r="T4" s="202" t="s">
        <v>138</v>
      </c>
      <c r="U4" s="202" t="s">
        <v>134</v>
      </c>
      <c r="V4" s="202" t="s">
        <v>136</v>
      </c>
      <c r="W4" s="72" t="s">
        <v>7</v>
      </c>
      <c r="X4" s="73" t="s">
        <v>70</v>
      </c>
    </row>
    <row r="5" spans="1:27" s="1" customFormat="1" thickBot="1" x14ac:dyDescent="0.25">
      <c r="A5" s="75"/>
      <c r="B5" s="76" t="s">
        <v>23</v>
      </c>
      <c r="C5" s="76" t="s">
        <v>24</v>
      </c>
      <c r="D5" s="76" t="s">
        <v>25</v>
      </c>
      <c r="E5" s="76" t="s">
        <v>26</v>
      </c>
      <c r="F5" s="76" t="s">
        <v>27</v>
      </c>
      <c r="G5" s="77" t="s">
        <v>28</v>
      </c>
      <c r="H5" s="76" t="s">
        <v>29</v>
      </c>
      <c r="I5" s="76" t="s">
        <v>30</v>
      </c>
      <c r="J5" s="76" t="s">
        <v>31</v>
      </c>
      <c r="K5" s="76" t="s">
        <v>32</v>
      </c>
      <c r="L5" s="76" t="s">
        <v>33</v>
      </c>
      <c r="M5" s="76" t="s">
        <v>34</v>
      </c>
      <c r="N5" s="76" t="s">
        <v>35</v>
      </c>
      <c r="O5" s="76" t="s">
        <v>36</v>
      </c>
      <c r="P5" s="76" t="s">
        <v>37</v>
      </c>
      <c r="Q5" s="77" t="s">
        <v>28</v>
      </c>
      <c r="R5" s="204" t="s">
        <v>82</v>
      </c>
      <c r="S5" s="78" t="s">
        <v>130</v>
      </c>
      <c r="T5" s="78" t="s">
        <v>139</v>
      </c>
      <c r="U5" s="78" t="s">
        <v>135</v>
      </c>
      <c r="V5" s="78" t="s">
        <v>137</v>
      </c>
      <c r="W5" s="79" t="s">
        <v>10</v>
      </c>
      <c r="X5" s="80" t="s">
        <v>71</v>
      </c>
    </row>
    <row r="6" spans="1:27" s="1" customFormat="1" ht="11.25" x14ac:dyDescent="0.2">
      <c r="A6" s="18"/>
      <c r="B6" s="33"/>
      <c r="C6" s="33"/>
      <c r="D6" s="33"/>
      <c r="E6" s="33"/>
      <c r="F6" s="33"/>
      <c r="G6" s="34"/>
      <c r="H6" s="33"/>
      <c r="I6" s="33"/>
      <c r="J6" s="33"/>
      <c r="K6" s="33"/>
      <c r="L6" s="33"/>
      <c r="M6" s="33"/>
      <c r="N6" s="33"/>
      <c r="O6" s="33"/>
      <c r="P6" s="33"/>
      <c r="Q6" s="34"/>
      <c r="R6" s="205"/>
      <c r="S6" s="214"/>
      <c r="T6" s="214"/>
      <c r="U6" s="214"/>
      <c r="V6" s="35"/>
      <c r="W6" s="81"/>
      <c r="X6" s="36"/>
    </row>
    <row r="7" spans="1:27" s="1" customFormat="1" x14ac:dyDescent="0.2">
      <c r="A7" s="82" t="s">
        <v>41</v>
      </c>
      <c r="B7" s="38">
        <v>0</v>
      </c>
      <c r="C7" s="38">
        <v>0</v>
      </c>
      <c r="D7" s="38">
        <v>0</v>
      </c>
      <c r="E7" s="38">
        <v>0</v>
      </c>
      <c r="F7" s="38">
        <v>0</v>
      </c>
      <c r="G7" s="39">
        <f>SUM(B7:F7)</f>
        <v>0</v>
      </c>
      <c r="H7" s="38">
        <v>0</v>
      </c>
      <c r="I7" s="38">
        <v>0</v>
      </c>
      <c r="J7" s="38">
        <v>0</v>
      </c>
      <c r="K7" s="38">
        <v>0</v>
      </c>
      <c r="L7" s="38">
        <v>0</v>
      </c>
      <c r="M7" s="38">
        <v>0</v>
      </c>
      <c r="N7" s="38">
        <v>0</v>
      </c>
      <c r="O7" s="38">
        <v>0</v>
      </c>
      <c r="P7" s="38">
        <v>0</v>
      </c>
      <c r="Q7" s="39">
        <f>SUM(H7:P7)</f>
        <v>0</v>
      </c>
      <c r="R7" s="39">
        <v>0</v>
      </c>
      <c r="S7" s="39">
        <v>0</v>
      </c>
      <c r="T7" s="39">
        <v>0</v>
      </c>
      <c r="U7" s="39">
        <v>0</v>
      </c>
      <c r="V7" s="39">
        <v>0</v>
      </c>
      <c r="W7" s="83">
        <f>Q7+G7+R7+S7+T7+U7+V7</f>
        <v>0</v>
      </c>
      <c r="X7" s="41"/>
      <c r="Z7" s="220"/>
      <c r="AA7" s="1" t="s">
        <v>147</v>
      </c>
    </row>
    <row r="8" spans="1:27" s="1" customFormat="1" x14ac:dyDescent="0.2">
      <c r="A8" s="82" t="s">
        <v>42</v>
      </c>
      <c r="B8" s="141" t="e">
        <f>#REF!+B7-#REF!</f>
        <v>#REF!</v>
      </c>
      <c r="C8" s="141" t="e">
        <f>#REF!+C7-#REF!</f>
        <v>#REF!</v>
      </c>
      <c r="D8" s="141" t="e">
        <f>#REF!+D7-#REF!</f>
        <v>#REF!</v>
      </c>
      <c r="E8" s="141" t="e">
        <f>#REF!+E7-#REF!</f>
        <v>#REF!</v>
      </c>
      <c r="F8" s="141" t="e">
        <f>#REF!+F7-#REF!</f>
        <v>#REF!</v>
      </c>
      <c r="G8" s="172" t="e">
        <f>#REF!+G7-#REF!</f>
        <v>#REF!</v>
      </c>
      <c r="H8" s="141" t="e">
        <f>#REF!+H7-#REF!</f>
        <v>#REF!</v>
      </c>
      <c r="I8" s="141" t="e">
        <f>#REF!+I7-#REF!</f>
        <v>#REF!</v>
      </c>
      <c r="J8" s="141" t="e">
        <f>#REF!+J7-#REF!</f>
        <v>#REF!</v>
      </c>
      <c r="K8" s="141" t="e">
        <f>#REF!+K7-#REF!</f>
        <v>#REF!</v>
      </c>
      <c r="L8" s="141" t="e">
        <f>#REF!+L7-#REF!</f>
        <v>#REF!</v>
      </c>
      <c r="M8" s="141" t="e">
        <f>#REF!+M7-#REF!</f>
        <v>#REF!</v>
      </c>
      <c r="N8" s="141" t="e">
        <f>#REF!+N7-#REF!</f>
        <v>#REF!</v>
      </c>
      <c r="O8" s="141" t="e">
        <f>#REF!+O7-#REF!</f>
        <v>#REF!</v>
      </c>
      <c r="P8" s="141" t="e">
        <f>#REF!+P7-#REF!</f>
        <v>#REF!</v>
      </c>
      <c r="Q8" s="39" t="e">
        <f>#REF!+Q7-#REF!</f>
        <v>#REF!</v>
      </c>
      <c r="R8" s="172" t="e">
        <f>#REF!+R7-#REF!</f>
        <v>#REF!</v>
      </c>
      <c r="S8" s="172" t="e">
        <f>#REF!+S7-#REF!</f>
        <v>#REF!</v>
      </c>
      <c r="T8" s="172" t="e">
        <f>#REF!+T7-#REF!</f>
        <v>#REF!</v>
      </c>
      <c r="U8" s="172" t="e">
        <f>#REF!+U7-#REF!</f>
        <v>#REF!</v>
      </c>
      <c r="V8" s="172" t="e">
        <f>#REF!+V7-#REF!</f>
        <v>#REF!</v>
      </c>
      <c r="W8" s="83" t="e">
        <f>#REF!+W7-#REF!</f>
        <v>#REF!</v>
      </c>
      <c r="X8" s="41" t="e">
        <f>#REF!+W7</f>
        <v>#REF!</v>
      </c>
    </row>
    <row r="9" spans="1:27" s="1" customFormat="1" x14ac:dyDescent="0.2">
      <c r="A9" s="85"/>
      <c r="B9" s="38"/>
      <c r="C9" s="38"/>
      <c r="D9" s="38"/>
      <c r="E9" s="38"/>
      <c r="F9" s="38"/>
      <c r="G9" s="39"/>
      <c r="H9" s="38"/>
      <c r="I9" s="38"/>
      <c r="J9" s="38"/>
      <c r="K9" s="38"/>
      <c r="L9" s="38"/>
      <c r="M9" s="38"/>
      <c r="N9" s="38"/>
      <c r="O9" s="38"/>
      <c r="P9" s="38"/>
      <c r="Q9" s="39" t="s">
        <v>60</v>
      </c>
      <c r="R9" s="47"/>
      <c r="S9" s="47"/>
      <c r="T9" s="47"/>
      <c r="U9" s="47"/>
      <c r="V9" s="43"/>
      <c r="W9" s="83"/>
      <c r="X9" s="41"/>
    </row>
    <row r="10" spans="1:27" s="1" customFormat="1" x14ac:dyDescent="0.2">
      <c r="A10" s="82" t="s">
        <v>43</v>
      </c>
      <c r="B10" s="38">
        <v>0</v>
      </c>
      <c r="C10" s="38">
        <v>0</v>
      </c>
      <c r="D10" s="38">
        <v>0</v>
      </c>
      <c r="E10" s="38">
        <v>0</v>
      </c>
      <c r="F10" s="38">
        <v>0</v>
      </c>
      <c r="G10" s="39">
        <f>SUM(B10:F10)</f>
        <v>0</v>
      </c>
      <c r="H10" s="38">
        <v>0</v>
      </c>
      <c r="I10" s="38">
        <v>0</v>
      </c>
      <c r="J10" s="38">
        <v>0</v>
      </c>
      <c r="K10" s="38">
        <v>0</v>
      </c>
      <c r="L10" s="38">
        <v>0</v>
      </c>
      <c r="M10" s="38">
        <v>0</v>
      </c>
      <c r="N10" s="38">
        <v>0</v>
      </c>
      <c r="O10" s="38">
        <v>0</v>
      </c>
      <c r="P10" s="38">
        <v>0</v>
      </c>
      <c r="Q10" s="39">
        <f>SUM(H10:P10)</f>
        <v>0</v>
      </c>
      <c r="R10" s="39">
        <v>0</v>
      </c>
      <c r="S10" s="39">
        <v>0</v>
      </c>
      <c r="T10" s="39">
        <v>0</v>
      </c>
      <c r="U10" s="39">
        <v>0</v>
      </c>
      <c r="V10" s="39">
        <v>0</v>
      </c>
      <c r="W10" s="83">
        <f>Q10+G10+R10+S10+T10+U10+V10</f>
        <v>0</v>
      </c>
      <c r="X10" s="41"/>
      <c r="Z10" s="220"/>
    </row>
    <row r="11" spans="1:27" s="1" customFormat="1" x14ac:dyDescent="0.2">
      <c r="A11" s="82" t="s">
        <v>42</v>
      </c>
      <c r="B11" s="141" t="e">
        <f>B8+B10-#REF!</f>
        <v>#REF!</v>
      </c>
      <c r="C11" s="141" t="e">
        <f>C8+C10-#REF!</f>
        <v>#REF!</v>
      </c>
      <c r="D11" s="141" t="e">
        <f>D8+D10-#REF!</f>
        <v>#REF!</v>
      </c>
      <c r="E11" s="141" t="e">
        <f>E8+E10-#REF!</f>
        <v>#REF!</v>
      </c>
      <c r="F11" s="141" t="e">
        <f>F8+F10-#REF!</f>
        <v>#REF!</v>
      </c>
      <c r="G11" s="39" t="e">
        <f>G8+G10-#REF!</f>
        <v>#REF!</v>
      </c>
      <c r="H11" s="141" t="e">
        <f>H8+H10-#REF!</f>
        <v>#REF!</v>
      </c>
      <c r="I11" s="141" t="e">
        <f>I8+I10-#REF!</f>
        <v>#REF!</v>
      </c>
      <c r="J11" s="141" t="e">
        <f>J8+J10-#REF!</f>
        <v>#REF!</v>
      </c>
      <c r="K11" s="141" t="e">
        <f>K8+K10-#REF!</f>
        <v>#REF!</v>
      </c>
      <c r="L11" s="141" t="e">
        <f>L8+L10-#REF!</f>
        <v>#REF!</v>
      </c>
      <c r="M11" s="141" t="e">
        <f>M8+M10-#REF!</f>
        <v>#REF!</v>
      </c>
      <c r="N11" s="141" t="e">
        <f>N8+N10-#REF!</f>
        <v>#REF!</v>
      </c>
      <c r="O11" s="141" t="e">
        <f>O8+O10-#REF!</f>
        <v>#REF!</v>
      </c>
      <c r="P11" s="141" t="e">
        <f>P8+P10-#REF!</f>
        <v>#REF!</v>
      </c>
      <c r="Q11" s="39" t="e">
        <f>Q8+Q10-#REF!</f>
        <v>#REF!</v>
      </c>
      <c r="R11" s="39" t="e">
        <f>R8+R10-#REF!</f>
        <v>#REF!</v>
      </c>
      <c r="S11" s="39" t="e">
        <f>S8+S10-#REF!</f>
        <v>#REF!</v>
      </c>
      <c r="T11" s="39" t="e">
        <f>T8+T10-#REF!</f>
        <v>#REF!</v>
      </c>
      <c r="U11" s="39" t="e">
        <f>U8+U10-#REF!</f>
        <v>#REF!</v>
      </c>
      <c r="V11" s="39" t="e">
        <f>V8+V10-#REF!</f>
        <v>#REF!</v>
      </c>
      <c r="W11" s="140" t="e">
        <f>W8+W10-#REF!</f>
        <v>#REF!</v>
      </c>
      <c r="X11" s="41" t="e">
        <f>W10+X8</f>
        <v>#REF!</v>
      </c>
    </row>
    <row r="12" spans="1:27" s="1" customFormat="1" x14ac:dyDescent="0.2">
      <c r="A12" s="85"/>
      <c r="B12" s="44"/>
      <c r="C12" s="44"/>
      <c r="D12" s="44"/>
      <c r="E12" s="44"/>
      <c r="F12" s="44"/>
      <c r="G12" s="45"/>
      <c r="H12" s="44"/>
      <c r="I12" s="44"/>
      <c r="J12" s="44"/>
      <c r="K12" s="44"/>
      <c r="L12" s="44"/>
      <c r="M12" s="44"/>
      <c r="N12" s="44"/>
      <c r="O12" s="44"/>
      <c r="P12" s="44"/>
      <c r="Q12" s="45"/>
      <c r="R12" s="47"/>
      <c r="S12" s="47"/>
      <c r="T12" s="47"/>
      <c r="U12" s="47"/>
      <c r="V12" s="43"/>
      <c r="W12" s="86"/>
      <c r="X12" s="46"/>
    </row>
    <row r="13" spans="1:27" s="1" customFormat="1" x14ac:dyDescent="0.2">
      <c r="A13" s="82" t="s">
        <v>44</v>
      </c>
      <c r="B13" s="38">
        <v>0</v>
      </c>
      <c r="C13" s="38">
        <v>0</v>
      </c>
      <c r="D13" s="38">
        <v>0</v>
      </c>
      <c r="E13" s="38">
        <v>0</v>
      </c>
      <c r="F13" s="38">
        <v>0</v>
      </c>
      <c r="G13" s="39">
        <f>SUM(B13:F13)</f>
        <v>0</v>
      </c>
      <c r="H13" s="38">
        <v>0</v>
      </c>
      <c r="I13" s="38">
        <v>0</v>
      </c>
      <c r="J13" s="38">
        <v>0</v>
      </c>
      <c r="K13" s="38">
        <v>0</v>
      </c>
      <c r="L13" s="38">
        <v>0</v>
      </c>
      <c r="M13" s="38">
        <v>0</v>
      </c>
      <c r="N13" s="38">
        <v>0</v>
      </c>
      <c r="O13" s="38">
        <v>0</v>
      </c>
      <c r="P13" s="38">
        <v>0</v>
      </c>
      <c r="Q13" s="39">
        <f>SUM(H13:P13)</f>
        <v>0</v>
      </c>
      <c r="R13" s="39">
        <v>0</v>
      </c>
      <c r="S13" s="39">
        <v>0</v>
      </c>
      <c r="T13" s="39">
        <v>0</v>
      </c>
      <c r="U13" s="39">
        <v>0</v>
      </c>
      <c r="V13" s="39">
        <v>0</v>
      </c>
      <c r="W13" s="83">
        <f>Q13+G13+R13+S13+T13+U13+V13</f>
        <v>0</v>
      </c>
      <c r="X13" s="41"/>
      <c r="Z13" s="220"/>
    </row>
    <row r="14" spans="1:27" s="1" customFormat="1" x14ac:dyDescent="0.2">
      <c r="A14" s="82" t="s">
        <v>42</v>
      </c>
      <c r="B14" s="141" t="e">
        <f>B11+B13-#REF!</f>
        <v>#REF!</v>
      </c>
      <c r="C14" s="141" t="e">
        <f>C11+C13-#REF!</f>
        <v>#REF!</v>
      </c>
      <c r="D14" s="141" t="e">
        <f>D11+D13-#REF!</f>
        <v>#REF!</v>
      </c>
      <c r="E14" s="141" t="e">
        <f>E11+E13-#REF!</f>
        <v>#REF!</v>
      </c>
      <c r="F14" s="141" t="e">
        <f>F11+F13-#REF!</f>
        <v>#REF!</v>
      </c>
      <c r="G14" s="39" t="e">
        <f>G11+G13-#REF!</f>
        <v>#REF!</v>
      </c>
      <c r="H14" s="141" t="e">
        <f>H11+H13-#REF!</f>
        <v>#REF!</v>
      </c>
      <c r="I14" s="141" t="e">
        <f>I11+I13-#REF!</f>
        <v>#REF!</v>
      </c>
      <c r="J14" s="141" t="e">
        <f>J11+J13-#REF!</f>
        <v>#REF!</v>
      </c>
      <c r="K14" s="141" t="e">
        <f>K11+K13-#REF!</f>
        <v>#REF!</v>
      </c>
      <c r="L14" s="141" t="e">
        <f>L11+L13-#REF!</f>
        <v>#REF!</v>
      </c>
      <c r="M14" s="141" t="e">
        <f>M11+M13-#REF!</f>
        <v>#REF!</v>
      </c>
      <c r="N14" s="141" t="e">
        <f>N11+N13-#REF!</f>
        <v>#REF!</v>
      </c>
      <c r="O14" s="141" t="e">
        <f>O11+O13-#REF!</f>
        <v>#REF!</v>
      </c>
      <c r="P14" s="141" t="e">
        <f>P11+P13-#REF!</f>
        <v>#REF!</v>
      </c>
      <c r="Q14" s="39" t="e">
        <f>Q11+Q13-#REF!</f>
        <v>#REF!</v>
      </c>
      <c r="R14" s="39" t="e">
        <f>R11+R13-#REF!</f>
        <v>#REF!</v>
      </c>
      <c r="S14" s="39" t="e">
        <f>S11+S13-#REF!</f>
        <v>#REF!</v>
      </c>
      <c r="T14" s="39" t="e">
        <f>T11+T13-#REF!</f>
        <v>#REF!</v>
      </c>
      <c r="U14" s="39" t="e">
        <f>U11+U13-#REF!</f>
        <v>#REF!</v>
      </c>
      <c r="V14" s="226" t="e">
        <f>V11+V13-#REF!</f>
        <v>#REF!</v>
      </c>
      <c r="W14" s="83" t="e">
        <f>W11+W13-#REF!</f>
        <v>#REF!</v>
      </c>
      <c r="X14" s="41" t="e">
        <f>W13+X11</f>
        <v>#REF!</v>
      </c>
    </row>
    <row r="15" spans="1:27" s="1" customFormat="1" x14ac:dyDescent="0.2">
      <c r="A15" s="85"/>
      <c r="B15" s="43"/>
      <c r="C15" s="43"/>
      <c r="D15" s="43"/>
      <c r="E15" s="43"/>
      <c r="F15" s="43"/>
      <c r="G15" s="47"/>
      <c r="H15" s="43"/>
      <c r="I15" s="43"/>
      <c r="J15" s="43"/>
      <c r="K15" s="43"/>
      <c r="L15" s="43"/>
      <c r="M15" s="43"/>
      <c r="N15" s="43"/>
      <c r="O15" s="43"/>
      <c r="P15" s="43"/>
      <c r="Q15" s="47"/>
      <c r="R15" s="47"/>
      <c r="S15" s="47"/>
      <c r="T15" s="47"/>
      <c r="U15" s="47"/>
      <c r="V15" s="43"/>
      <c r="W15" s="87"/>
      <c r="X15" s="46"/>
    </row>
    <row r="16" spans="1:27" s="1" customFormat="1" x14ac:dyDescent="0.2">
      <c r="A16" s="82" t="s">
        <v>45</v>
      </c>
      <c r="B16" s="38">
        <v>0</v>
      </c>
      <c r="C16" s="38">
        <v>0</v>
      </c>
      <c r="D16" s="38">
        <v>0</v>
      </c>
      <c r="E16" s="38">
        <v>0</v>
      </c>
      <c r="F16" s="38">
        <v>0</v>
      </c>
      <c r="G16" s="39">
        <f>SUM(B16:F16)</f>
        <v>0</v>
      </c>
      <c r="H16" s="38">
        <v>0</v>
      </c>
      <c r="I16" s="38">
        <v>0</v>
      </c>
      <c r="J16" s="38">
        <v>0</v>
      </c>
      <c r="K16" s="38">
        <v>0</v>
      </c>
      <c r="L16" s="38">
        <v>0</v>
      </c>
      <c r="M16" s="38">
        <v>0</v>
      </c>
      <c r="N16" s="38">
        <v>0</v>
      </c>
      <c r="O16" s="38">
        <v>0</v>
      </c>
      <c r="P16" s="38">
        <v>0</v>
      </c>
      <c r="Q16" s="39">
        <f>SUM(H16:P16)</f>
        <v>0</v>
      </c>
      <c r="R16" s="39">
        <v>0</v>
      </c>
      <c r="S16" s="39">
        <v>0</v>
      </c>
      <c r="T16" s="39">
        <v>0</v>
      </c>
      <c r="U16" s="39">
        <v>0</v>
      </c>
      <c r="V16" s="39">
        <v>0</v>
      </c>
      <c r="W16" s="83">
        <f>Q16+G16+R16+S16+T16+U16+V16</f>
        <v>0</v>
      </c>
      <c r="X16" s="41"/>
      <c r="Z16" s="220"/>
    </row>
    <row r="17" spans="1:27" s="1" customFormat="1" x14ac:dyDescent="0.2">
      <c r="A17" s="82" t="s">
        <v>42</v>
      </c>
      <c r="B17" s="141" t="e">
        <f>B14+B16-#REF!</f>
        <v>#REF!</v>
      </c>
      <c r="C17" s="141" t="e">
        <f>C14+C16-#REF!</f>
        <v>#REF!</v>
      </c>
      <c r="D17" s="141" t="e">
        <f>D14+D16-#REF!</f>
        <v>#REF!</v>
      </c>
      <c r="E17" s="141" t="e">
        <f>E14+E16-#REF!</f>
        <v>#REF!</v>
      </c>
      <c r="F17" s="141" t="e">
        <f>F14+F16-#REF!</f>
        <v>#REF!</v>
      </c>
      <c r="G17" s="39" t="e">
        <f>G14+G16-#REF!</f>
        <v>#REF!</v>
      </c>
      <c r="H17" s="141" t="e">
        <f>H14+H16-#REF!</f>
        <v>#REF!</v>
      </c>
      <c r="I17" s="141" t="e">
        <f>I14+I16-#REF!</f>
        <v>#REF!</v>
      </c>
      <c r="J17" s="141" t="e">
        <f>J14+J16-#REF!</f>
        <v>#REF!</v>
      </c>
      <c r="K17" s="141" t="e">
        <f>K14+K16-#REF!</f>
        <v>#REF!</v>
      </c>
      <c r="L17" s="141" t="e">
        <f>L14+L16-#REF!</f>
        <v>#REF!</v>
      </c>
      <c r="M17" s="141" t="e">
        <f>M14+M16-#REF!</f>
        <v>#REF!</v>
      </c>
      <c r="N17" s="141" t="e">
        <f>N14+N16-#REF!</f>
        <v>#REF!</v>
      </c>
      <c r="O17" s="141" t="e">
        <f>O14+O16-#REF!</f>
        <v>#REF!</v>
      </c>
      <c r="P17" s="141" t="e">
        <f>P14+P16-#REF!</f>
        <v>#REF!</v>
      </c>
      <c r="Q17" s="39" t="e">
        <f>Q14+Q16-#REF!</f>
        <v>#REF!</v>
      </c>
      <c r="R17" s="39" t="e">
        <f>R14+R16-#REF!</f>
        <v>#REF!</v>
      </c>
      <c r="S17" s="39" t="e">
        <f>S14+S16-#REF!</f>
        <v>#REF!</v>
      </c>
      <c r="T17" s="39" t="e">
        <f>T14+T16-#REF!</f>
        <v>#REF!</v>
      </c>
      <c r="U17" s="39" t="e">
        <f>U14+U16-#REF!</f>
        <v>#REF!</v>
      </c>
      <c r="V17" s="39" t="e">
        <f>V14+V16-#REF!</f>
        <v>#REF!</v>
      </c>
      <c r="W17" s="140" t="e">
        <f>W14+W16-#REF!</f>
        <v>#REF!</v>
      </c>
      <c r="X17" s="41" t="e">
        <f>W16+X14</f>
        <v>#REF!</v>
      </c>
    </row>
    <row r="18" spans="1:27" s="1" customFormat="1" x14ac:dyDescent="0.2">
      <c r="A18" s="85"/>
      <c r="B18" s="44"/>
      <c r="C18" s="44"/>
      <c r="D18" s="44"/>
      <c r="E18" s="44"/>
      <c r="F18" s="44"/>
      <c r="G18" s="45"/>
      <c r="H18" s="44"/>
      <c r="I18" s="44"/>
      <c r="J18" s="44"/>
      <c r="K18" s="44"/>
      <c r="L18" s="44"/>
      <c r="M18" s="44"/>
      <c r="N18" s="44"/>
      <c r="O18" s="44"/>
      <c r="P18" s="44"/>
      <c r="Q18" s="45"/>
      <c r="R18" s="47"/>
      <c r="S18" s="47"/>
      <c r="T18" s="47"/>
      <c r="U18" s="47"/>
      <c r="V18" s="43"/>
      <c r="W18" s="86"/>
      <c r="X18" s="46"/>
    </row>
    <row r="19" spans="1:27" s="1" customFormat="1" x14ac:dyDescent="0.2">
      <c r="A19" s="82" t="s">
        <v>46</v>
      </c>
      <c r="B19" s="38">
        <v>0</v>
      </c>
      <c r="C19" s="38">
        <v>0</v>
      </c>
      <c r="D19" s="38">
        <v>0</v>
      </c>
      <c r="E19" s="38">
        <v>0</v>
      </c>
      <c r="F19" s="38">
        <v>0</v>
      </c>
      <c r="G19" s="39">
        <f>SUM(B19:F19)</f>
        <v>0</v>
      </c>
      <c r="H19" s="38">
        <v>0</v>
      </c>
      <c r="I19" s="38">
        <v>0</v>
      </c>
      <c r="J19" s="38">
        <v>0</v>
      </c>
      <c r="K19" s="38">
        <v>0</v>
      </c>
      <c r="L19" s="38">
        <v>0</v>
      </c>
      <c r="M19" s="38">
        <v>0</v>
      </c>
      <c r="N19" s="38">
        <v>0</v>
      </c>
      <c r="O19" s="38">
        <v>0</v>
      </c>
      <c r="P19" s="38">
        <v>0</v>
      </c>
      <c r="Q19" s="39">
        <f>SUM(H19:P19)</f>
        <v>0</v>
      </c>
      <c r="R19" s="39">
        <v>0</v>
      </c>
      <c r="S19" s="39">
        <v>0</v>
      </c>
      <c r="T19" s="39">
        <v>0</v>
      </c>
      <c r="U19" s="39">
        <v>0</v>
      </c>
      <c r="V19" s="39">
        <v>0</v>
      </c>
      <c r="W19" s="83">
        <f>Q19+G19+R19+S19+T19+U19+V19</f>
        <v>0</v>
      </c>
      <c r="X19" s="41"/>
      <c r="Z19" s="220"/>
    </row>
    <row r="20" spans="1:27" s="1" customFormat="1" x14ac:dyDescent="0.2">
      <c r="A20" s="82" t="s">
        <v>42</v>
      </c>
      <c r="B20" s="141" t="e">
        <f>B17+B19-#REF!</f>
        <v>#REF!</v>
      </c>
      <c r="C20" s="141" t="e">
        <f>C17+C19-#REF!</f>
        <v>#REF!</v>
      </c>
      <c r="D20" s="141" t="e">
        <f>D17+D19-#REF!</f>
        <v>#REF!</v>
      </c>
      <c r="E20" s="141" t="e">
        <f>E17+E19-#REF!</f>
        <v>#REF!</v>
      </c>
      <c r="F20" s="141" t="e">
        <f>F17+F19-#REF!</f>
        <v>#REF!</v>
      </c>
      <c r="G20" s="39" t="e">
        <f>G17+G19-#REF!</f>
        <v>#REF!</v>
      </c>
      <c r="H20" s="141" t="e">
        <f>H17+H19-#REF!</f>
        <v>#REF!</v>
      </c>
      <c r="I20" s="141" t="e">
        <f>I17+I19-#REF!</f>
        <v>#REF!</v>
      </c>
      <c r="J20" s="141" t="e">
        <f>J17+J19-#REF!</f>
        <v>#REF!</v>
      </c>
      <c r="K20" s="141" t="e">
        <f>K17+K19-#REF!</f>
        <v>#REF!</v>
      </c>
      <c r="L20" s="141" t="e">
        <f>L17+L19-#REF!</f>
        <v>#REF!</v>
      </c>
      <c r="M20" s="141" t="e">
        <f>M17+M19-#REF!</f>
        <v>#REF!</v>
      </c>
      <c r="N20" s="141" t="e">
        <f>N17+N19-#REF!</f>
        <v>#REF!</v>
      </c>
      <c r="O20" s="141" t="e">
        <f>O17+O19-#REF!</f>
        <v>#REF!</v>
      </c>
      <c r="P20" s="141" t="e">
        <f>P17+P19-#REF!</f>
        <v>#REF!</v>
      </c>
      <c r="Q20" s="39" t="e">
        <f>Q17+Q19-#REF!</f>
        <v>#REF!</v>
      </c>
      <c r="R20" s="39" t="e">
        <f>R17+R19-#REF!</f>
        <v>#REF!</v>
      </c>
      <c r="S20" s="39" t="e">
        <f>S17+S19-#REF!</f>
        <v>#REF!</v>
      </c>
      <c r="T20" s="39" t="e">
        <f>T17+T19-#REF!</f>
        <v>#REF!</v>
      </c>
      <c r="U20" s="39" t="e">
        <f>U17+U19-#REF!</f>
        <v>#REF!</v>
      </c>
      <c r="V20" s="39" t="e">
        <f>V17+V19-#REF!</f>
        <v>#REF!</v>
      </c>
      <c r="W20" s="140" t="e">
        <f>W17+W19-#REF!</f>
        <v>#REF!</v>
      </c>
      <c r="X20" s="41" t="e">
        <f>W19+X17</f>
        <v>#REF!</v>
      </c>
    </row>
    <row r="21" spans="1:27" s="1" customFormat="1" x14ac:dyDescent="0.2">
      <c r="A21" s="85"/>
      <c r="B21" s="44"/>
      <c r="C21" s="44"/>
      <c r="D21" s="44"/>
      <c r="E21" s="44"/>
      <c r="F21" s="44"/>
      <c r="G21" s="45"/>
      <c r="H21" s="44"/>
      <c r="I21" s="44"/>
      <c r="J21" s="44"/>
      <c r="K21" s="44"/>
      <c r="L21" s="44"/>
      <c r="M21" s="44"/>
      <c r="N21" s="44"/>
      <c r="O21" s="44"/>
      <c r="P21" s="44"/>
      <c r="Q21" s="45"/>
      <c r="R21" s="47"/>
      <c r="S21" s="47"/>
      <c r="T21" s="47"/>
      <c r="U21" s="47"/>
      <c r="V21" s="43"/>
      <c r="W21" s="86"/>
      <c r="X21" s="46"/>
    </row>
    <row r="22" spans="1:27" s="1" customFormat="1" x14ac:dyDescent="0.2">
      <c r="A22" s="82" t="s">
        <v>47</v>
      </c>
      <c r="B22" s="38">
        <v>0</v>
      </c>
      <c r="C22" s="38">
        <v>0</v>
      </c>
      <c r="D22" s="38">
        <v>0</v>
      </c>
      <c r="E22" s="38">
        <v>0</v>
      </c>
      <c r="F22" s="38">
        <v>0</v>
      </c>
      <c r="G22" s="39">
        <f>SUM(B22:F22)</f>
        <v>0</v>
      </c>
      <c r="H22" s="38">
        <v>0</v>
      </c>
      <c r="I22" s="38">
        <v>0</v>
      </c>
      <c r="J22" s="38">
        <v>0</v>
      </c>
      <c r="K22" s="38">
        <v>0</v>
      </c>
      <c r="L22" s="38">
        <v>0</v>
      </c>
      <c r="M22" s="38">
        <v>0</v>
      </c>
      <c r="N22" s="38">
        <v>0</v>
      </c>
      <c r="O22" s="38">
        <v>0</v>
      </c>
      <c r="P22" s="38">
        <v>0</v>
      </c>
      <c r="Q22" s="39">
        <f>SUM(H22:P22)</f>
        <v>0</v>
      </c>
      <c r="R22" s="39">
        <v>0</v>
      </c>
      <c r="S22" s="39">
        <v>0</v>
      </c>
      <c r="T22" s="39">
        <v>0</v>
      </c>
      <c r="U22" s="39">
        <v>0</v>
      </c>
      <c r="V22" s="39">
        <v>0</v>
      </c>
      <c r="W22" s="83">
        <f>Q22+G22+R22+S22+T22+U22+V22</f>
        <v>0</v>
      </c>
      <c r="X22" s="41"/>
      <c r="Z22" s="220">
        <f>W22-2178783.23</f>
        <v>-2178783.23</v>
      </c>
      <c r="AA22" s="1" t="s">
        <v>168</v>
      </c>
    </row>
    <row r="23" spans="1:27" s="1" customFormat="1" x14ac:dyDescent="0.2">
      <c r="A23" s="82" t="s">
        <v>42</v>
      </c>
      <c r="B23" s="141" t="e">
        <f>B20+B22-#REF!</f>
        <v>#REF!</v>
      </c>
      <c r="C23" s="141" t="e">
        <f>C20+C22-#REF!</f>
        <v>#REF!</v>
      </c>
      <c r="D23" s="141" t="e">
        <f>D20+D22-#REF!</f>
        <v>#REF!</v>
      </c>
      <c r="E23" s="141" t="e">
        <f>E20+E22-#REF!</f>
        <v>#REF!</v>
      </c>
      <c r="F23" s="141" t="e">
        <f>F20+F22-#REF!</f>
        <v>#REF!</v>
      </c>
      <c r="G23" s="39" t="e">
        <f>G20+G22-#REF!</f>
        <v>#REF!</v>
      </c>
      <c r="H23" s="141" t="e">
        <f>H20+H22-#REF!</f>
        <v>#REF!</v>
      </c>
      <c r="I23" s="141" t="e">
        <f>I20+I22-#REF!</f>
        <v>#REF!</v>
      </c>
      <c r="J23" s="141" t="e">
        <f>J20+J22-#REF!</f>
        <v>#REF!</v>
      </c>
      <c r="K23" s="141" t="e">
        <f>K20+K22-#REF!</f>
        <v>#REF!</v>
      </c>
      <c r="L23" s="141" t="e">
        <f>L20+L22-#REF!</f>
        <v>#REF!</v>
      </c>
      <c r="M23" s="141" t="e">
        <f>M20+M22-#REF!</f>
        <v>#REF!</v>
      </c>
      <c r="N23" s="141" t="e">
        <f>N20+N22-#REF!</f>
        <v>#REF!</v>
      </c>
      <c r="O23" s="141" t="e">
        <f>O20+O22-#REF!</f>
        <v>#REF!</v>
      </c>
      <c r="P23" s="141" t="e">
        <f>P20+P22-#REF!</f>
        <v>#REF!</v>
      </c>
      <c r="Q23" s="39" t="e">
        <f>Q20+Q22-#REF!</f>
        <v>#REF!</v>
      </c>
      <c r="R23" s="39" t="e">
        <f>R20+R22-#REF!</f>
        <v>#REF!</v>
      </c>
      <c r="S23" s="39" t="e">
        <f>S20+S22-#REF!</f>
        <v>#REF!</v>
      </c>
      <c r="T23" s="39" t="e">
        <f>T20+T22-#REF!</f>
        <v>#REF!</v>
      </c>
      <c r="U23" s="39" t="e">
        <f>U20+U22-#REF!</f>
        <v>#REF!</v>
      </c>
      <c r="V23" s="39" t="e">
        <f>V20+V22-#REF!</f>
        <v>#REF!</v>
      </c>
      <c r="W23" s="140" t="e">
        <f>W20+W22-#REF!</f>
        <v>#REF!</v>
      </c>
      <c r="X23" s="41" t="e">
        <f>W22+X20</f>
        <v>#REF!</v>
      </c>
      <c r="Z23" s="220"/>
    </row>
    <row r="24" spans="1:27" s="1" customFormat="1" x14ac:dyDescent="0.2">
      <c r="A24" s="85"/>
      <c r="B24" s="43"/>
      <c r="C24" s="43"/>
      <c r="D24" s="43"/>
      <c r="E24" s="43"/>
      <c r="F24" s="43"/>
      <c r="G24" s="47"/>
      <c r="H24" s="43"/>
      <c r="I24" s="43"/>
      <c r="J24" s="43"/>
      <c r="K24" s="43"/>
      <c r="L24" s="43"/>
      <c r="M24" s="43"/>
      <c r="N24" s="43"/>
      <c r="O24" s="43"/>
      <c r="P24" s="43"/>
      <c r="Q24" s="47"/>
      <c r="R24" s="47"/>
      <c r="S24" s="47"/>
      <c r="T24" s="47"/>
      <c r="U24" s="47"/>
      <c r="V24" s="43"/>
      <c r="W24" s="87"/>
      <c r="X24" s="46"/>
    </row>
    <row r="25" spans="1:27" s="1" customFormat="1" x14ac:dyDescent="0.2">
      <c r="A25" s="82" t="s">
        <v>48</v>
      </c>
      <c r="B25" s="38">
        <v>0</v>
      </c>
      <c r="C25" s="38">
        <v>126026.82</v>
      </c>
      <c r="D25" s="38">
        <v>169639.92</v>
      </c>
      <c r="E25" s="38">
        <v>276567.21000000002</v>
      </c>
      <c r="F25" s="38">
        <v>135952.56</v>
      </c>
      <c r="G25" s="39">
        <f>SUM(B25:F25)</f>
        <v>708186.51</v>
      </c>
      <c r="H25" s="38">
        <v>250035.76</v>
      </c>
      <c r="I25" s="38">
        <v>159505.24</v>
      </c>
      <c r="J25" s="38">
        <v>66303.539999999994</v>
      </c>
      <c r="K25" s="38">
        <v>55958.080000000002</v>
      </c>
      <c r="L25" s="38">
        <v>143218.91</v>
      </c>
      <c r="M25" s="38">
        <v>7863.3</v>
      </c>
      <c r="N25" s="38">
        <v>0</v>
      </c>
      <c r="O25" s="38">
        <v>163120.29</v>
      </c>
      <c r="P25" s="38">
        <v>0</v>
      </c>
      <c r="Q25" s="39">
        <f>SUM(H25:P25)</f>
        <v>846005.12000000011</v>
      </c>
      <c r="R25" s="39">
        <v>532432.54</v>
      </c>
      <c r="S25" s="39">
        <v>330507.44</v>
      </c>
      <c r="T25" s="39">
        <v>12753.19</v>
      </c>
      <c r="U25" s="39">
        <v>56874.68</v>
      </c>
      <c r="V25" s="38">
        <v>0</v>
      </c>
      <c r="W25" s="83">
        <f>Q25+G25+R25+S25+T25+U25+V25</f>
        <v>2486759.4800000004</v>
      </c>
      <c r="X25" s="41"/>
      <c r="Z25" s="220">
        <f>W25-2486759.47</f>
        <v>1.0000000242143869E-2</v>
      </c>
      <c r="AA25" s="1" t="s">
        <v>168</v>
      </c>
    </row>
    <row r="26" spans="1:27" s="1" customFormat="1" x14ac:dyDescent="0.2">
      <c r="A26" s="82" t="s">
        <v>42</v>
      </c>
      <c r="B26" s="141">
        <f>+B25</f>
        <v>0</v>
      </c>
      <c r="C26" s="141">
        <f>+C25</f>
        <v>126026.82</v>
      </c>
      <c r="D26" s="141">
        <f>+D25</f>
        <v>169639.92</v>
      </c>
      <c r="E26" s="141">
        <f>+E25</f>
        <v>276567.21000000002</v>
      </c>
      <c r="F26" s="141">
        <f>+F25</f>
        <v>135952.56</v>
      </c>
      <c r="G26" s="39">
        <f>G25</f>
        <v>708186.51</v>
      </c>
      <c r="H26" s="141">
        <f>H25</f>
        <v>250035.76</v>
      </c>
      <c r="I26" s="141">
        <f t="shared" ref="I26:O26" si="0">+I25</f>
        <v>159505.24</v>
      </c>
      <c r="J26" s="141">
        <f t="shared" si="0"/>
        <v>66303.539999999994</v>
      </c>
      <c r="K26" s="141">
        <f t="shared" si="0"/>
        <v>55958.080000000002</v>
      </c>
      <c r="L26" s="141">
        <f t="shared" si="0"/>
        <v>143218.91</v>
      </c>
      <c r="M26" s="141">
        <f t="shared" si="0"/>
        <v>7863.3</v>
      </c>
      <c r="N26" s="141">
        <f t="shared" si="0"/>
        <v>0</v>
      </c>
      <c r="O26" s="141">
        <f t="shared" si="0"/>
        <v>163120.29</v>
      </c>
      <c r="P26" s="141">
        <f t="shared" ref="P26:W26" si="1">P25</f>
        <v>0</v>
      </c>
      <c r="Q26" s="39">
        <f t="shared" si="1"/>
        <v>846005.12000000011</v>
      </c>
      <c r="R26" s="39">
        <f t="shared" si="1"/>
        <v>532432.54</v>
      </c>
      <c r="S26" s="39">
        <f t="shared" si="1"/>
        <v>330507.44</v>
      </c>
      <c r="T26" s="39">
        <f t="shared" si="1"/>
        <v>12753.19</v>
      </c>
      <c r="U26" s="39">
        <f t="shared" si="1"/>
        <v>56874.68</v>
      </c>
      <c r="V26" s="39">
        <f t="shared" si="1"/>
        <v>0</v>
      </c>
      <c r="W26" s="140">
        <f t="shared" si="1"/>
        <v>2486759.4800000004</v>
      </c>
      <c r="X26" s="41" t="e">
        <f>W25+X23</f>
        <v>#REF!</v>
      </c>
    </row>
    <row r="27" spans="1:27" s="1" customFormat="1" x14ac:dyDescent="0.2">
      <c r="A27" s="85"/>
      <c r="B27" s="44"/>
      <c r="C27" s="44"/>
      <c r="D27" s="44"/>
      <c r="E27" s="44"/>
      <c r="F27" s="44"/>
      <c r="G27" s="45"/>
      <c r="H27" s="44"/>
      <c r="I27" s="44"/>
      <c r="J27" s="44"/>
      <c r="K27" s="44"/>
      <c r="L27" s="44"/>
      <c r="M27" s="44"/>
      <c r="N27" s="44"/>
      <c r="O27" s="44"/>
      <c r="P27" s="44"/>
      <c r="Q27" s="45"/>
      <c r="R27" s="47"/>
      <c r="S27" s="47"/>
      <c r="T27" s="47"/>
      <c r="U27" s="47"/>
      <c r="V27" s="43"/>
      <c r="W27" s="86"/>
      <c r="X27" s="46"/>
    </row>
    <row r="28" spans="1:27" s="1" customFormat="1" x14ac:dyDescent="0.2">
      <c r="A28" s="82" t="s">
        <v>49</v>
      </c>
      <c r="B28" s="38">
        <v>0</v>
      </c>
      <c r="C28" s="38">
        <v>118507.32</v>
      </c>
      <c r="D28" s="38">
        <v>196710.12</v>
      </c>
      <c r="E28" s="38">
        <v>320781.87</v>
      </c>
      <c r="F28" s="38">
        <v>150690.78</v>
      </c>
      <c r="G28" s="39">
        <f>SUM(B28:F28)</f>
        <v>786690.09000000008</v>
      </c>
      <c r="H28" s="38">
        <v>231222.24</v>
      </c>
      <c r="I28" s="38">
        <v>26316.77</v>
      </c>
      <c r="J28" s="38">
        <v>52900.99</v>
      </c>
      <c r="K28" s="38">
        <v>48738.65</v>
      </c>
      <c r="L28" s="38">
        <v>150802.43</v>
      </c>
      <c r="M28" s="38">
        <v>32204.59</v>
      </c>
      <c r="N28" s="38">
        <v>0</v>
      </c>
      <c r="O28" s="38">
        <v>181129.63</v>
      </c>
      <c r="P28" s="38">
        <v>0</v>
      </c>
      <c r="Q28" s="39">
        <f>SUM(H28:P28)</f>
        <v>723315.3</v>
      </c>
      <c r="R28" s="39">
        <v>487588.35</v>
      </c>
      <c r="S28" s="39">
        <v>359368.34</v>
      </c>
      <c r="T28" s="39">
        <v>7825.14</v>
      </c>
      <c r="U28" s="39">
        <v>63078.89</v>
      </c>
      <c r="V28" s="38">
        <v>0</v>
      </c>
      <c r="W28" s="83">
        <f>Q28+G28+R28+S28+T28+U28+V28</f>
        <v>2427866.1100000003</v>
      </c>
      <c r="X28" s="41"/>
    </row>
    <row r="29" spans="1:27" s="1" customFormat="1" x14ac:dyDescent="0.2">
      <c r="A29" s="82" t="s">
        <v>42</v>
      </c>
      <c r="B29" s="141">
        <f t="shared" ref="B29:W29" si="2">B26+B28</f>
        <v>0</v>
      </c>
      <c r="C29" s="141">
        <f t="shared" si="2"/>
        <v>244534.14</v>
      </c>
      <c r="D29" s="141">
        <f t="shared" si="2"/>
        <v>366350.04000000004</v>
      </c>
      <c r="E29" s="141">
        <f t="shared" si="2"/>
        <v>597349.08000000007</v>
      </c>
      <c r="F29" s="141">
        <f t="shared" si="2"/>
        <v>286643.33999999997</v>
      </c>
      <c r="G29" s="39">
        <f t="shared" si="2"/>
        <v>1494876.6</v>
      </c>
      <c r="H29" s="141">
        <f t="shared" si="2"/>
        <v>481258</v>
      </c>
      <c r="I29" s="141">
        <f t="shared" si="2"/>
        <v>185822.00999999998</v>
      </c>
      <c r="J29" s="141">
        <f t="shared" si="2"/>
        <v>119204.53</v>
      </c>
      <c r="K29" s="141">
        <f t="shared" si="2"/>
        <v>104696.73000000001</v>
      </c>
      <c r="L29" s="141">
        <f t="shared" si="2"/>
        <v>294021.33999999997</v>
      </c>
      <c r="M29" s="141">
        <f t="shared" si="2"/>
        <v>40067.89</v>
      </c>
      <c r="N29" s="141">
        <f t="shared" si="2"/>
        <v>0</v>
      </c>
      <c r="O29" s="141">
        <f t="shared" si="2"/>
        <v>344249.92000000004</v>
      </c>
      <c r="P29" s="141">
        <f t="shared" si="2"/>
        <v>0</v>
      </c>
      <c r="Q29" s="39">
        <f t="shared" si="2"/>
        <v>1569320.4200000002</v>
      </c>
      <c r="R29" s="39">
        <f t="shared" si="2"/>
        <v>1020020.89</v>
      </c>
      <c r="S29" s="39">
        <f t="shared" si="2"/>
        <v>689875.78</v>
      </c>
      <c r="T29" s="39">
        <f t="shared" si="2"/>
        <v>20578.330000000002</v>
      </c>
      <c r="U29" s="39">
        <f t="shared" si="2"/>
        <v>119953.57</v>
      </c>
      <c r="V29" s="39">
        <f t="shared" si="2"/>
        <v>0</v>
      </c>
      <c r="W29" s="140">
        <f t="shared" si="2"/>
        <v>4914625.5900000008</v>
      </c>
      <c r="X29" s="41" t="e">
        <f>W28+X26</f>
        <v>#REF!</v>
      </c>
    </row>
    <row r="30" spans="1:27" s="1" customFormat="1" x14ac:dyDescent="0.2">
      <c r="A30" s="85"/>
      <c r="B30" s="43"/>
      <c r="C30" s="43"/>
      <c r="D30" s="43"/>
      <c r="E30" s="43"/>
      <c r="F30" s="43"/>
      <c r="G30" s="47"/>
      <c r="H30" s="43"/>
      <c r="I30" s="43"/>
      <c r="J30" s="43"/>
      <c r="K30" s="43"/>
      <c r="L30" s="43"/>
      <c r="M30" s="43"/>
      <c r="N30" s="43"/>
      <c r="O30" s="43"/>
      <c r="P30" s="43"/>
      <c r="Q30" s="47"/>
      <c r="R30" s="47"/>
      <c r="S30" s="47"/>
      <c r="T30" s="47"/>
      <c r="U30" s="47"/>
      <c r="V30" s="43"/>
      <c r="W30" s="87"/>
      <c r="X30" s="46"/>
    </row>
    <row r="31" spans="1:27" s="1" customFormat="1" x14ac:dyDescent="0.2">
      <c r="A31" s="82" t="s">
        <v>50</v>
      </c>
      <c r="B31" s="38">
        <v>0</v>
      </c>
      <c r="C31" s="38">
        <f>'HYD  CST'!C673</f>
        <v>69179.399999999994</v>
      </c>
      <c r="D31" s="38">
        <f>'HYD  CST'!D673</f>
        <v>267694.2</v>
      </c>
      <c r="E31" s="38">
        <f>'HYD  CST'!E673</f>
        <v>291004.65000000002</v>
      </c>
      <c r="F31" s="38">
        <f>'HYD  CST'!F673</f>
        <v>146179.07999999999</v>
      </c>
      <c r="G31" s="39">
        <f>SUM(B31:F31)</f>
        <v>774057.33</v>
      </c>
      <c r="H31" s="38">
        <f>'HYD  CST'!H673</f>
        <v>251120.19</v>
      </c>
      <c r="I31" s="38">
        <f>'HYD  CST'!I673</f>
        <v>69380.47</v>
      </c>
      <c r="J31" s="38">
        <f>'HYD  CST'!J673</f>
        <v>47370.34</v>
      </c>
      <c r="K31" s="38">
        <f>'HYD  CST'!K673</f>
        <v>46352.79</v>
      </c>
      <c r="L31" s="38">
        <f>'HYD  CST'!L673</f>
        <v>163852.84</v>
      </c>
      <c r="M31" s="38">
        <f>'HYD  CST'!M673</f>
        <v>34447.74</v>
      </c>
      <c r="N31" s="38">
        <f>'HYD  CST'!N673</f>
        <v>0</v>
      </c>
      <c r="O31" s="38">
        <f>'HYD  CST'!O673</f>
        <v>153678.26999999999</v>
      </c>
      <c r="P31" s="38">
        <f>'HYD  CST'!P673</f>
        <v>0</v>
      </c>
      <c r="Q31" s="39">
        <f>SUM(H31:P31)</f>
        <v>766202.64</v>
      </c>
      <c r="R31" s="39">
        <f>'HYD  CST'!R673</f>
        <v>467091.69</v>
      </c>
      <c r="S31" s="39">
        <f>'HYD  CST'!S673</f>
        <v>222315.12</v>
      </c>
      <c r="T31" s="39">
        <f>'HYD  CST'!T673</f>
        <v>11573.28</v>
      </c>
      <c r="U31" s="39">
        <f>'HYD  CST'!U673</f>
        <v>134522.49</v>
      </c>
      <c r="V31" s="39">
        <v>0</v>
      </c>
      <c r="W31" s="83">
        <f>Q31+G31+R31+S31+T31+U31+V31</f>
        <v>2375762.5499999998</v>
      </c>
      <c r="X31" s="41"/>
    </row>
    <row r="32" spans="1:27" s="1" customFormat="1" x14ac:dyDescent="0.2">
      <c r="A32" s="82" t="s">
        <v>42</v>
      </c>
      <c r="B32" s="141">
        <f t="shared" ref="B32:W32" si="3">B29+B31</f>
        <v>0</v>
      </c>
      <c r="C32" s="141">
        <f t="shared" si="3"/>
        <v>313713.54000000004</v>
      </c>
      <c r="D32" s="141">
        <f t="shared" si="3"/>
        <v>634044.24</v>
      </c>
      <c r="E32" s="141">
        <f t="shared" si="3"/>
        <v>888353.7300000001</v>
      </c>
      <c r="F32" s="141">
        <f t="shared" si="3"/>
        <v>432822.41999999993</v>
      </c>
      <c r="G32" s="39">
        <f t="shared" si="3"/>
        <v>2268933.9300000002</v>
      </c>
      <c r="H32" s="141">
        <f t="shared" si="3"/>
        <v>732378.19</v>
      </c>
      <c r="I32" s="141">
        <f t="shared" si="3"/>
        <v>255202.47999999998</v>
      </c>
      <c r="J32" s="141">
        <f t="shared" si="3"/>
        <v>166574.87</v>
      </c>
      <c r="K32" s="141">
        <f t="shared" si="3"/>
        <v>151049.52000000002</v>
      </c>
      <c r="L32" s="141">
        <f t="shared" si="3"/>
        <v>457874.17999999993</v>
      </c>
      <c r="M32" s="141">
        <f t="shared" si="3"/>
        <v>74515.63</v>
      </c>
      <c r="N32" s="141">
        <f t="shared" si="3"/>
        <v>0</v>
      </c>
      <c r="O32" s="141">
        <f t="shared" si="3"/>
        <v>497928.19000000006</v>
      </c>
      <c r="P32" s="141">
        <f t="shared" si="3"/>
        <v>0</v>
      </c>
      <c r="Q32" s="39">
        <f t="shared" si="3"/>
        <v>2335523.06</v>
      </c>
      <c r="R32" s="39">
        <f t="shared" si="3"/>
        <v>1487112.58</v>
      </c>
      <c r="S32" s="39">
        <f t="shared" si="3"/>
        <v>912190.9</v>
      </c>
      <c r="T32" s="39">
        <f t="shared" si="3"/>
        <v>32151.61</v>
      </c>
      <c r="U32" s="39">
        <f t="shared" si="3"/>
        <v>254476.06</v>
      </c>
      <c r="V32" s="39">
        <f t="shared" si="3"/>
        <v>0</v>
      </c>
      <c r="W32" s="140">
        <f t="shared" si="3"/>
        <v>7290388.1400000006</v>
      </c>
      <c r="X32" s="41" t="e">
        <f>W31+X29</f>
        <v>#REF!</v>
      </c>
    </row>
    <row r="33" spans="1:24" s="1" customFormat="1" x14ac:dyDescent="0.2">
      <c r="A33" s="85"/>
      <c r="B33" s="43"/>
      <c r="C33" s="43"/>
      <c r="D33" s="43"/>
      <c r="E33" s="43"/>
      <c r="F33" s="43"/>
      <c r="G33" s="47"/>
      <c r="H33" s="43"/>
      <c r="I33" s="43"/>
      <c r="J33" s="43"/>
      <c r="K33" s="43"/>
      <c r="L33" s="43"/>
      <c r="M33" s="43"/>
      <c r="N33" s="43"/>
      <c r="O33" s="43"/>
      <c r="P33" s="43"/>
      <c r="Q33" s="47"/>
      <c r="R33" s="47"/>
      <c r="S33" s="47"/>
      <c r="T33" s="47"/>
      <c r="U33" s="47"/>
      <c r="V33" s="43"/>
      <c r="W33" s="87"/>
      <c r="X33" s="46"/>
    </row>
    <row r="34" spans="1:24" s="1" customFormat="1" x14ac:dyDescent="0.2">
      <c r="A34" s="82" t="s">
        <v>51</v>
      </c>
      <c r="B34" s="38">
        <f>'HYD  CST'!B676</f>
        <v>0</v>
      </c>
      <c r="C34" s="38">
        <f>'HYD  CST'!C676</f>
        <v>0</v>
      </c>
      <c r="D34" s="38">
        <f>'HYD  CST'!D676</f>
        <v>270100.44</v>
      </c>
      <c r="E34" s="38">
        <f>'HYD  CST'!E676</f>
        <v>309051.45</v>
      </c>
      <c r="F34" s="38">
        <f>'HYD  CST'!F676</f>
        <v>120612.78</v>
      </c>
      <c r="G34" s="39">
        <f>SUM(B34:F34)</f>
        <v>699764.67</v>
      </c>
      <c r="H34" s="38">
        <f>'HYD  CST'!H676</f>
        <v>192049.43</v>
      </c>
      <c r="I34" s="38">
        <f>'HYD  CST'!I676</f>
        <v>118131.63</v>
      </c>
      <c r="J34" s="38">
        <f>'HYD  CST'!J676</f>
        <v>17031.349999999999</v>
      </c>
      <c r="K34" s="38">
        <f>'HYD  CST'!K676</f>
        <v>17406.43</v>
      </c>
      <c r="L34" s="38">
        <f>'HYD  CST'!L676</f>
        <v>108802.44</v>
      </c>
      <c r="M34" s="38">
        <f>'HYD  CST'!M676</f>
        <v>10039.299999999999</v>
      </c>
      <c r="N34" s="38">
        <f>'HYD  CST'!N676</f>
        <v>0</v>
      </c>
      <c r="O34" s="38">
        <f>'HYD  CST'!O676</f>
        <v>45872.49</v>
      </c>
      <c r="P34" s="38">
        <f>'HYD  CST'!P676</f>
        <v>0</v>
      </c>
      <c r="Q34" s="39">
        <f>SUM(H34:P34)</f>
        <v>509333.06999999995</v>
      </c>
      <c r="R34" s="38">
        <f>'HYD  CST'!R676</f>
        <v>401486.54</v>
      </c>
      <c r="S34" s="38">
        <f>'HYD  CST'!S676</f>
        <v>206684.34</v>
      </c>
      <c r="T34" s="38">
        <f>'HYD  CST'!T676</f>
        <v>9379.7099999999991</v>
      </c>
      <c r="U34" s="38">
        <f>'HYD  CST'!U676</f>
        <v>49420.34</v>
      </c>
      <c r="V34" s="38">
        <f>'HYD  CST'!V676</f>
        <v>0</v>
      </c>
      <c r="W34" s="83">
        <f>Q34+G34+R34+S34+T34+U34+V34</f>
        <v>1876068.6700000002</v>
      </c>
      <c r="X34" s="41"/>
    </row>
    <row r="35" spans="1:24" s="1" customFormat="1" x14ac:dyDescent="0.2">
      <c r="A35" s="82" t="s">
        <v>42</v>
      </c>
      <c r="B35" s="141">
        <f t="shared" ref="B35:W35" si="4">B32+B34</f>
        <v>0</v>
      </c>
      <c r="C35" s="141">
        <f t="shared" si="4"/>
        <v>313713.54000000004</v>
      </c>
      <c r="D35" s="141">
        <f t="shared" si="4"/>
        <v>904144.67999999993</v>
      </c>
      <c r="E35" s="141">
        <f t="shared" si="4"/>
        <v>1197405.1800000002</v>
      </c>
      <c r="F35" s="141">
        <f t="shared" si="4"/>
        <v>553435.19999999995</v>
      </c>
      <c r="G35" s="39">
        <f t="shared" si="4"/>
        <v>2968698.6</v>
      </c>
      <c r="H35" s="141">
        <f t="shared" si="4"/>
        <v>924427.61999999988</v>
      </c>
      <c r="I35" s="141">
        <f t="shared" si="4"/>
        <v>373334.11</v>
      </c>
      <c r="J35" s="141">
        <f t="shared" si="4"/>
        <v>183606.22</v>
      </c>
      <c r="K35" s="141">
        <f t="shared" si="4"/>
        <v>168455.95</v>
      </c>
      <c r="L35" s="141">
        <f t="shared" si="4"/>
        <v>566676.61999999988</v>
      </c>
      <c r="M35" s="141">
        <f t="shared" si="4"/>
        <v>84554.930000000008</v>
      </c>
      <c r="N35" s="141">
        <f t="shared" si="4"/>
        <v>0</v>
      </c>
      <c r="O35" s="141">
        <f t="shared" si="4"/>
        <v>543800.68000000005</v>
      </c>
      <c r="P35" s="141">
        <f t="shared" si="4"/>
        <v>0</v>
      </c>
      <c r="Q35" s="39">
        <f t="shared" si="4"/>
        <v>2844856.13</v>
      </c>
      <c r="R35" s="39">
        <f t="shared" si="4"/>
        <v>1888599.12</v>
      </c>
      <c r="S35" s="39">
        <f t="shared" si="4"/>
        <v>1118875.24</v>
      </c>
      <c r="T35" s="39">
        <f t="shared" si="4"/>
        <v>41531.32</v>
      </c>
      <c r="U35" s="39">
        <f t="shared" si="4"/>
        <v>303896.40000000002</v>
      </c>
      <c r="V35" s="39">
        <f t="shared" si="4"/>
        <v>0</v>
      </c>
      <c r="W35" s="140">
        <f t="shared" si="4"/>
        <v>9166456.8100000005</v>
      </c>
      <c r="X35" s="41" t="e">
        <f>W34+X32</f>
        <v>#REF!</v>
      </c>
    </row>
    <row r="36" spans="1:24" s="1" customFormat="1" x14ac:dyDescent="0.2">
      <c r="A36" s="85"/>
      <c r="B36" s="44"/>
      <c r="C36" s="44"/>
      <c r="D36" s="44"/>
      <c r="E36" s="44"/>
      <c r="F36" s="44"/>
      <c r="G36" s="45"/>
      <c r="H36" s="44"/>
      <c r="I36" s="44"/>
      <c r="J36" s="44"/>
      <c r="K36" s="44"/>
      <c r="L36" s="44"/>
      <c r="M36" s="44"/>
      <c r="N36" s="44"/>
      <c r="O36" s="44"/>
      <c r="P36" s="44"/>
      <c r="Q36" s="45"/>
      <c r="R36" s="47"/>
      <c r="S36" s="47"/>
      <c r="T36" s="47"/>
      <c r="U36" s="47"/>
      <c r="V36" s="43"/>
      <c r="W36" s="86"/>
      <c r="X36" s="46"/>
    </row>
    <row r="37" spans="1:24" s="1" customFormat="1" x14ac:dyDescent="0.2">
      <c r="A37" s="82" t="s">
        <v>52</v>
      </c>
      <c r="B37" s="38">
        <v>0</v>
      </c>
      <c r="C37" s="38">
        <v>0</v>
      </c>
      <c r="D37" s="38">
        <v>0</v>
      </c>
      <c r="E37" s="38">
        <v>0</v>
      </c>
      <c r="F37" s="38">
        <v>0</v>
      </c>
      <c r="G37" s="39">
        <f>SUM(B37:F37)</f>
        <v>0</v>
      </c>
      <c r="H37" s="38">
        <v>0</v>
      </c>
      <c r="I37" s="38">
        <v>0</v>
      </c>
      <c r="J37" s="38">
        <v>0</v>
      </c>
      <c r="K37" s="38">
        <v>0</v>
      </c>
      <c r="L37" s="38">
        <v>0</v>
      </c>
      <c r="M37" s="38">
        <v>0</v>
      </c>
      <c r="N37" s="38">
        <v>0</v>
      </c>
      <c r="O37" s="38">
        <v>0</v>
      </c>
      <c r="P37" s="38">
        <v>0</v>
      </c>
      <c r="Q37" s="39">
        <f>SUM(H37:P37)</f>
        <v>0</v>
      </c>
      <c r="R37" s="39">
        <v>0</v>
      </c>
      <c r="S37" s="39">
        <v>0</v>
      </c>
      <c r="T37" s="39">
        <v>0</v>
      </c>
      <c r="U37" s="39">
        <v>0</v>
      </c>
      <c r="V37" s="38">
        <v>0</v>
      </c>
      <c r="W37" s="83">
        <f>Q37+G37+R37+S37+T37+U37+V37</f>
        <v>0</v>
      </c>
      <c r="X37" s="41"/>
    </row>
    <row r="38" spans="1:24" s="1" customFormat="1" x14ac:dyDescent="0.2">
      <c r="A38" s="82" t="s">
        <v>42</v>
      </c>
      <c r="B38" s="141">
        <f t="shared" ref="B38:W38" si="5">B35+B37</f>
        <v>0</v>
      </c>
      <c r="C38" s="141">
        <f t="shared" si="5"/>
        <v>313713.54000000004</v>
      </c>
      <c r="D38" s="141">
        <f t="shared" si="5"/>
        <v>904144.67999999993</v>
      </c>
      <c r="E38" s="141">
        <f t="shared" si="5"/>
        <v>1197405.1800000002</v>
      </c>
      <c r="F38" s="141">
        <f t="shared" si="5"/>
        <v>553435.19999999995</v>
      </c>
      <c r="G38" s="39">
        <f t="shared" si="5"/>
        <v>2968698.6</v>
      </c>
      <c r="H38" s="141">
        <f t="shared" si="5"/>
        <v>924427.61999999988</v>
      </c>
      <c r="I38" s="141">
        <f t="shared" si="5"/>
        <v>373334.11</v>
      </c>
      <c r="J38" s="141">
        <f t="shared" si="5"/>
        <v>183606.22</v>
      </c>
      <c r="K38" s="141">
        <f t="shared" si="5"/>
        <v>168455.95</v>
      </c>
      <c r="L38" s="141">
        <f t="shared" si="5"/>
        <v>566676.61999999988</v>
      </c>
      <c r="M38" s="141">
        <f t="shared" si="5"/>
        <v>84554.930000000008</v>
      </c>
      <c r="N38" s="141">
        <f t="shared" si="5"/>
        <v>0</v>
      </c>
      <c r="O38" s="141">
        <f t="shared" si="5"/>
        <v>543800.68000000005</v>
      </c>
      <c r="P38" s="141">
        <f t="shared" si="5"/>
        <v>0</v>
      </c>
      <c r="Q38" s="39">
        <f t="shared" si="5"/>
        <v>2844856.13</v>
      </c>
      <c r="R38" s="39">
        <f t="shared" si="5"/>
        <v>1888599.12</v>
      </c>
      <c r="S38" s="39">
        <f t="shared" si="5"/>
        <v>1118875.24</v>
      </c>
      <c r="T38" s="39">
        <f t="shared" si="5"/>
        <v>41531.32</v>
      </c>
      <c r="U38" s="39">
        <f t="shared" si="5"/>
        <v>303896.40000000002</v>
      </c>
      <c r="V38" s="39">
        <f t="shared" si="5"/>
        <v>0</v>
      </c>
      <c r="W38" s="140">
        <f t="shared" si="5"/>
        <v>9166456.8100000005</v>
      </c>
      <c r="X38" s="41" t="e">
        <f>W37+X35</f>
        <v>#REF!</v>
      </c>
    </row>
    <row r="39" spans="1:24" s="1" customFormat="1" x14ac:dyDescent="0.2">
      <c r="A39" s="85"/>
      <c r="B39" s="43"/>
      <c r="C39" s="43"/>
      <c r="D39" s="43"/>
      <c r="E39" s="43"/>
      <c r="F39" s="43"/>
      <c r="G39" s="47"/>
      <c r="H39" s="43"/>
      <c r="I39" s="43"/>
      <c r="J39" s="43"/>
      <c r="K39" s="43"/>
      <c r="L39" s="43"/>
      <c r="M39" s="43"/>
      <c r="N39" s="43"/>
      <c r="O39" s="43"/>
      <c r="P39" s="43"/>
      <c r="Q39" s="47"/>
      <c r="R39" s="47"/>
      <c r="S39" s="47"/>
      <c r="T39" s="47"/>
      <c r="U39" s="47"/>
      <c r="V39" s="43"/>
      <c r="W39" s="87"/>
      <c r="X39" s="46"/>
    </row>
    <row r="40" spans="1:24" s="1" customFormat="1" x14ac:dyDescent="0.2">
      <c r="A40" s="82" t="s">
        <v>53</v>
      </c>
      <c r="B40" s="38">
        <v>0</v>
      </c>
      <c r="C40" s="38">
        <v>0</v>
      </c>
      <c r="D40" s="38">
        <v>0</v>
      </c>
      <c r="E40" s="38">
        <v>0</v>
      </c>
      <c r="F40" s="38">
        <v>0</v>
      </c>
      <c r="G40" s="39">
        <f>SUM(B40:F40)</f>
        <v>0</v>
      </c>
      <c r="H40" s="38">
        <v>0</v>
      </c>
      <c r="I40" s="38">
        <v>0</v>
      </c>
      <c r="J40" s="38">
        <v>0</v>
      </c>
      <c r="K40" s="38">
        <v>0</v>
      </c>
      <c r="L40" s="38">
        <v>0</v>
      </c>
      <c r="M40" s="38">
        <v>0</v>
      </c>
      <c r="N40" s="38">
        <v>0</v>
      </c>
      <c r="O40" s="38">
        <v>0</v>
      </c>
      <c r="P40" s="38">
        <v>0</v>
      </c>
      <c r="Q40" s="39">
        <f>SUM(H40:P40)</f>
        <v>0</v>
      </c>
      <c r="R40" s="39">
        <v>0</v>
      </c>
      <c r="S40" s="39">
        <v>0</v>
      </c>
      <c r="T40" s="39">
        <v>0</v>
      </c>
      <c r="U40" s="39">
        <v>0</v>
      </c>
      <c r="V40" s="38">
        <v>0</v>
      </c>
      <c r="W40" s="83">
        <f>Q40+G40+R40+S40+T40+U40+V40</f>
        <v>0</v>
      </c>
      <c r="X40" s="41"/>
    </row>
    <row r="41" spans="1:24" s="1" customFormat="1" ht="13.5" thickBot="1" x14ac:dyDescent="0.25">
      <c r="A41" s="88" t="s">
        <v>42</v>
      </c>
      <c r="B41" s="143">
        <f t="shared" ref="B41:W41" si="6">B38+B40</f>
        <v>0</v>
      </c>
      <c r="C41" s="143">
        <f t="shared" si="6"/>
        <v>313713.54000000004</v>
      </c>
      <c r="D41" s="143">
        <f t="shared" si="6"/>
        <v>904144.67999999993</v>
      </c>
      <c r="E41" s="143">
        <f t="shared" si="6"/>
        <v>1197405.1800000002</v>
      </c>
      <c r="F41" s="143">
        <f t="shared" si="6"/>
        <v>553435.19999999995</v>
      </c>
      <c r="G41" s="50">
        <f t="shared" si="6"/>
        <v>2968698.6</v>
      </c>
      <c r="H41" s="143">
        <f t="shared" si="6"/>
        <v>924427.61999999988</v>
      </c>
      <c r="I41" s="143">
        <f t="shared" si="6"/>
        <v>373334.11</v>
      </c>
      <c r="J41" s="143">
        <f t="shared" si="6"/>
        <v>183606.22</v>
      </c>
      <c r="K41" s="143">
        <f t="shared" si="6"/>
        <v>168455.95</v>
      </c>
      <c r="L41" s="143">
        <f t="shared" si="6"/>
        <v>566676.61999999988</v>
      </c>
      <c r="M41" s="143">
        <f t="shared" si="6"/>
        <v>84554.930000000008</v>
      </c>
      <c r="N41" s="143">
        <f t="shared" si="6"/>
        <v>0</v>
      </c>
      <c r="O41" s="143">
        <f t="shared" si="6"/>
        <v>543800.68000000005</v>
      </c>
      <c r="P41" s="143">
        <f t="shared" si="6"/>
        <v>0</v>
      </c>
      <c r="Q41" s="50">
        <f t="shared" si="6"/>
        <v>2844856.13</v>
      </c>
      <c r="R41" s="50">
        <f t="shared" si="6"/>
        <v>1888599.12</v>
      </c>
      <c r="S41" s="50">
        <f t="shared" si="6"/>
        <v>1118875.24</v>
      </c>
      <c r="T41" s="50">
        <f t="shared" si="6"/>
        <v>41531.32</v>
      </c>
      <c r="U41" s="50">
        <f t="shared" si="6"/>
        <v>303896.40000000002</v>
      </c>
      <c r="V41" s="50">
        <f t="shared" si="6"/>
        <v>0</v>
      </c>
      <c r="W41" s="144">
        <f t="shared" si="6"/>
        <v>9166456.8100000005</v>
      </c>
      <c r="X41" s="51" t="e">
        <f>W40+X38</f>
        <v>#REF!</v>
      </c>
    </row>
    <row r="42" spans="1:24" s="1" customFormat="1" x14ac:dyDescent="0.2">
      <c r="A42" s="92"/>
      <c r="C42" s="90"/>
      <c r="D42" s="90"/>
      <c r="E42" s="90"/>
      <c r="F42" s="90"/>
      <c r="G42" s="90"/>
      <c r="I42" s="90"/>
      <c r="J42" s="90"/>
      <c r="K42" s="90"/>
      <c r="L42" s="90"/>
      <c r="M42" s="90"/>
      <c r="N42" s="90"/>
      <c r="O42" s="171"/>
      <c r="P42" s="90"/>
      <c r="Q42" s="52" t="s">
        <v>170</v>
      </c>
      <c r="S42" s="52"/>
      <c r="T42" s="52"/>
      <c r="U42" s="52"/>
      <c r="V42" s="52"/>
      <c r="W42" s="90"/>
      <c r="X42" s="91"/>
    </row>
    <row r="43" spans="1:24" s="1" customFormat="1" x14ac:dyDescent="0.2">
      <c r="B43" s="1" t="s">
        <v>131</v>
      </c>
      <c r="P43" t="s">
        <v>122</v>
      </c>
      <c r="X43" s="9"/>
    </row>
  </sheetData>
  <sheetProtection password="E2F7" sheet="1" objects="1" scenarios="1"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L18"/>
  <sheetViews>
    <sheetView workbookViewId="0">
      <selection activeCell="E7" sqref="E7"/>
    </sheetView>
  </sheetViews>
  <sheetFormatPr defaultRowHeight="12.75" x14ac:dyDescent="0.2"/>
  <cols>
    <col min="2" max="2" width="11.83203125" bestFit="1" customWidth="1"/>
    <col min="3" max="3" width="12.33203125" bestFit="1" customWidth="1"/>
    <col min="5" max="5" width="11.83203125" bestFit="1" customWidth="1"/>
    <col min="6" max="6" width="12.33203125" bestFit="1" customWidth="1"/>
    <col min="8" max="8" width="11.83203125" bestFit="1" customWidth="1"/>
    <col min="9" max="9" width="12.33203125" bestFit="1" customWidth="1"/>
  </cols>
  <sheetData>
    <row r="5" spans="1:12" x14ac:dyDescent="0.2">
      <c r="B5" s="230" t="s">
        <v>163</v>
      </c>
      <c r="C5" s="231" t="s">
        <v>164</v>
      </c>
      <c r="D5" s="232" t="s">
        <v>165</v>
      </c>
      <c r="E5" s="229" t="s">
        <v>166</v>
      </c>
      <c r="F5" s="229" t="s">
        <v>164</v>
      </c>
      <c r="G5" s="229" t="s">
        <v>167</v>
      </c>
      <c r="H5" s="230" t="s">
        <v>138</v>
      </c>
      <c r="I5" s="231" t="s">
        <v>164</v>
      </c>
      <c r="J5" s="232" t="s">
        <v>165</v>
      </c>
    </row>
    <row r="6" spans="1:12" x14ac:dyDescent="0.2">
      <c r="B6" s="233"/>
      <c r="C6" s="234"/>
      <c r="D6" s="235"/>
      <c r="H6" s="233"/>
      <c r="I6" s="234"/>
      <c r="J6" s="235"/>
    </row>
    <row r="7" spans="1:12" x14ac:dyDescent="0.2">
      <c r="A7" t="s">
        <v>152</v>
      </c>
      <c r="B7" s="236">
        <f>'HYD  ENG'!G285</f>
        <v>153367436</v>
      </c>
      <c r="C7" s="237">
        <f>'HYD  CST'!G176</f>
        <v>6995451.7100000009</v>
      </c>
      <c r="D7" s="238">
        <f>C7/B7*1000</f>
        <v>45.61236656522054</v>
      </c>
      <c r="E7" s="219">
        <f>'HYD  ENG'!R285</f>
        <v>136213000</v>
      </c>
      <c r="F7" s="227">
        <f>'HYD  CST'!Q176</f>
        <v>6789634.8400000017</v>
      </c>
      <c r="G7" s="228">
        <f>F7/E7*1000</f>
        <v>49.845718396922479</v>
      </c>
      <c r="H7" s="239"/>
      <c r="I7" s="237"/>
      <c r="J7" s="238"/>
    </row>
    <row r="8" spans="1:12" x14ac:dyDescent="0.2">
      <c r="A8" t="s">
        <v>153</v>
      </c>
      <c r="B8" s="236">
        <f>'HYD  ENG'!G336</f>
        <v>111453912</v>
      </c>
      <c r="C8" s="237">
        <f>'HYD  CST'!G226</f>
        <v>4895729.620000001</v>
      </c>
      <c r="D8" s="238">
        <f t="shared" ref="D8:D17" si="0">C8/B8*1000</f>
        <v>43.926045592728961</v>
      </c>
      <c r="E8" s="219">
        <f>'HYD  ENG'!R336</f>
        <v>94334000</v>
      </c>
      <c r="F8" s="227">
        <f>'HYD  CST'!Q226</f>
        <v>4530434.2499999991</v>
      </c>
      <c r="G8" s="228">
        <f t="shared" ref="G8:G17" si="1">F8/E8*1000</f>
        <v>48.025465367735904</v>
      </c>
      <c r="H8" s="239">
        <f>'HYD  ENG'!S336</f>
        <v>16695000</v>
      </c>
      <c r="I8" s="237">
        <f>'HYD  CST'!R226</f>
        <v>222950.52000000002</v>
      </c>
      <c r="J8" s="238">
        <f t="shared" ref="J8:J17" si="2">I8/H8*1000</f>
        <v>13.354328840970352</v>
      </c>
    </row>
    <row r="9" spans="1:12" x14ac:dyDescent="0.2">
      <c r="A9" t="s">
        <v>154</v>
      </c>
      <c r="B9" s="236">
        <f>'HYD  ENG'!G383</f>
        <v>120550367</v>
      </c>
      <c r="C9" s="237">
        <f>'HYD  CST'!G276</f>
        <v>4859364.870000001</v>
      </c>
      <c r="D9" s="238">
        <f t="shared" si="0"/>
        <v>40.309830578947981</v>
      </c>
      <c r="E9" s="219">
        <f>'HYD  ENG'!R383</f>
        <v>118619141</v>
      </c>
      <c r="F9" s="227">
        <f>'HYD  CST'!Q276</f>
        <v>5619605.4900000002</v>
      </c>
      <c r="G9" s="228">
        <f t="shared" si="1"/>
        <v>47.375199673718768</v>
      </c>
      <c r="H9" s="239">
        <f>'HYD  ENG'!S383</f>
        <v>39136000</v>
      </c>
      <c r="I9" s="237">
        <f>'HYD  CST'!R276</f>
        <v>599762.75</v>
      </c>
      <c r="J9" s="238">
        <f t="shared" si="2"/>
        <v>15.325090709321341</v>
      </c>
    </row>
    <row r="10" spans="1:12" x14ac:dyDescent="0.2">
      <c r="A10" t="s">
        <v>155</v>
      </c>
      <c r="B10" s="236">
        <f>'HYD  ENG'!G430</f>
        <v>147142974</v>
      </c>
      <c r="C10" s="237">
        <f>'HYD  CST'!G326</f>
        <v>6013962.169999999</v>
      </c>
      <c r="D10" s="238">
        <f t="shared" si="0"/>
        <v>40.871555103949433</v>
      </c>
      <c r="E10" s="219">
        <f>'HYD  ENG'!R430</f>
        <v>159802181</v>
      </c>
      <c r="F10" s="227">
        <f>'HYD  CST'!Q326</f>
        <v>7520878.5200000005</v>
      </c>
      <c r="G10" s="228">
        <f t="shared" si="1"/>
        <v>47.063678811742882</v>
      </c>
      <c r="H10" s="239">
        <f>'HYD  ENG'!S430</f>
        <v>34010000</v>
      </c>
      <c r="I10" s="237">
        <f>'HYD  CST'!R326</f>
        <v>645904.96999999986</v>
      </c>
      <c r="J10" s="238">
        <f t="shared" si="2"/>
        <v>18.991619229638339</v>
      </c>
    </row>
    <row r="11" spans="1:12" x14ac:dyDescent="0.2">
      <c r="A11" t="s">
        <v>156</v>
      </c>
      <c r="B11" s="236">
        <f>'HYD  ENG'!G477</f>
        <v>116831045</v>
      </c>
      <c r="C11" s="237">
        <f>'HYD  CST'!G377</f>
        <v>4843037.4300000006</v>
      </c>
      <c r="D11" s="238">
        <f t="shared" si="0"/>
        <v>41.453343415699145</v>
      </c>
      <c r="E11" s="219">
        <f>'HYD  ENG'!R477</f>
        <v>101797842</v>
      </c>
      <c r="F11" s="227">
        <f>'HYD  CST'!Q377</f>
        <v>5257511.5999999996</v>
      </c>
      <c r="G11" s="228">
        <f t="shared" si="1"/>
        <v>51.646591879619606</v>
      </c>
      <c r="H11" s="239">
        <f>'HYD  ENG'!S477</f>
        <v>26239000</v>
      </c>
      <c r="I11" s="237">
        <f>'HYD  CST'!R377</f>
        <v>579706.50999999989</v>
      </c>
      <c r="J11" s="238">
        <f t="shared" si="2"/>
        <v>22.093315675140055</v>
      </c>
    </row>
    <row r="12" spans="1:12" x14ac:dyDescent="0.2">
      <c r="A12" t="s">
        <v>157</v>
      </c>
      <c r="B12" s="236">
        <f>'HYD  ENG'!G524</f>
        <v>116522400</v>
      </c>
      <c r="C12" s="237">
        <f>'HYD  CST'!G425</f>
        <v>4909890.4100000011</v>
      </c>
      <c r="D12" s="238">
        <f t="shared" si="0"/>
        <v>42.136880205007806</v>
      </c>
      <c r="E12" s="219">
        <f>'HYD  ENG'!R524</f>
        <v>112204000</v>
      </c>
      <c r="F12" s="227">
        <f>'HYD  CST'!Q425</f>
        <v>5508986.7399999993</v>
      </c>
      <c r="G12" s="228">
        <f t="shared" si="1"/>
        <v>49.097953192399551</v>
      </c>
      <c r="H12" s="239">
        <f>'HYD  ENG'!S524</f>
        <v>26917000</v>
      </c>
      <c r="I12" s="237">
        <f>'HYD  CST'!R425</f>
        <v>571758.24999999988</v>
      </c>
      <c r="J12" s="238">
        <f t="shared" si="2"/>
        <v>21.241529516662329</v>
      </c>
    </row>
    <row r="13" spans="1:12" x14ac:dyDescent="0.2">
      <c r="A13" t="s">
        <v>158</v>
      </c>
      <c r="B13" s="236">
        <f>'HYD  ENG'!G571</f>
        <v>170899814</v>
      </c>
      <c r="C13" s="237">
        <f>'HYD  CST'!G473</f>
        <v>7313897.9300000025</v>
      </c>
      <c r="D13" s="238">
        <f t="shared" si="0"/>
        <v>42.796406612824065</v>
      </c>
      <c r="E13" s="219">
        <f>'HYD  ENG'!R571</f>
        <v>164156000</v>
      </c>
      <c r="F13" s="227">
        <f>'HYD  CST'!Q473</f>
        <v>7573064.1799999988</v>
      </c>
      <c r="G13" s="228">
        <f t="shared" si="1"/>
        <v>46.133337678793339</v>
      </c>
      <c r="H13" s="239">
        <f>'HYD  ENG'!S571</f>
        <v>75349000</v>
      </c>
      <c r="I13" s="237">
        <f>'HYD  CST'!R473</f>
        <v>2179927.23</v>
      </c>
      <c r="J13" s="238">
        <f t="shared" si="2"/>
        <v>28.931070485341543</v>
      </c>
    </row>
    <row r="14" spans="1:12" x14ac:dyDescent="0.2">
      <c r="A14" t="s">
        <v>159</v>
      </c>
      <c r="B14" s="236">
        <f>'HYD  ENG'!G618</f>
        <v>160267112</v>
      </c>
      <c r="C14" s="237">
        <f>'HYD  CST'!G521</f>
        <v>6612432.4900000012</v>
      </c>
      <c r="D14" s="238">
        <f t="shared" si="0"/>
        <v>41.258823519575252</v>
      </c>
      <c r="E14" s="219">
        <f>'HYD  ENG'!R618</f>
        <v>194243951</v>
      </c>
      <c r="F14" s="227">
        <f>'HYD  CST'!Q521</f>
        <v>9217192.7699999977</v>
      </c>
      <c r="G14" s="228">
        <f t="shared" si="1"/>
        <v>47.451633487418086</v>
      </c>
      <c r="H14" s="240">
        <f>'HYD  ENG'!S618</f>
        <v>76468000</v>
      </c>
      <c r="I14" s="241">
        <f>'HYD  CST'!R521</f>
        <v>5421113.3600000013</v>
      </c>
      <c r="J14" s="242">
        <f t="shared" si="2"/>
        <v>70.893881885233057</v>
      </c>
      <c r="K14" s="243"/>
      <c r="L14" s="243"/>
    </row>
    <row r="15" spans="1:12" x14ac:dyDescent="0.2">
      <c r="A15" t="s">
        <v>160</v>
      </c>
      <c r="B15" s="236">
        <f>'HYD  ENG'!G665</f>
        <v>152316000</v>
      </c>
      <c r="C15" s="237">
        <f>'HYD  CST'!G569</f>
        <v>6467499.2300000014</v>
      </c>
      <c r="D15" s="238">
        <f t="shared" si="0"/>
        <v>42.461062724861485</v>
      </c>
      <c r="E15" s="219">
        <f>'HYD  ENG'!R665</f>
        <v>154810000</v>
      </c>
      <c r="F15" s="227">
        <f>'HYD  CST'!Q569</f>
        <v>7215120.7199999951</v>
      </c>
      <c r="G15" s="228">
        <f t="shared" si="1"/>
        <v>46.606296234093378</v>
      </c>
      <c r="H15" s="239">
        <f>'HYD  ENG'!S665</f>
        <v>61112680</v>
      </c>
      <c r="I15" s="237">
        <f>'HYD  CST'!R569</f>
        <v>1963738.2700000021</v>
      </c>
      <c r="J15" s="238">
        <f t="shared" si="2"/>
        <v>32.133074019990644</v>
      </c>
    </row>
    <row r="16" spans="1:12" x14ac:dyDescent="0.2">
      <c r="A16" t="s">
        <v>161</v>
      </c>
      <c r="B16" s="236">
        <f>'HYD  ENG'!G712</f>
        <v>167291270.33700001</v>
      </c>
      <c r="C16" s="237">
        <f>'HYD  CST'!G617</f>
        <v>7724334.9700000025</v>
      </c>
      <c r="D16" s="238">
        <f t="shared" si="0"/>
        <v>46.172970977144892</v>
      </c>
      <c r="E16" s="219">
        <f>'HYD  ENG'!R712</f>
        <v>154463911</v>
      </c>
      <c r="F16" s="227">
        <f>'HYD  CST'!Q617</f>
        <v>7394540.1399999959</v>
      </c>
      <c r="G16" s="228">
        <f t="shared" si="1"/>
        <v>47.872283513525666</v>
      </c>
      <c r="H16" s="239">
        <f>'HYD  ENG'!S712</f>
        <v>91054214</v>
      </c>
      <c r="I16" s="237">
        <f>'HYD  CST'!R617</f>
        <v>3567517.5300000021</v>
      </c>
      <c r="J16" s="238">
        <f t="shared" si="2"/>
        <v>39.180147444905757</v>
      </c>
    </row>
    <row r="17" spans="1:10" x14ac:dyDescent="0.2">
      <c r="A17" t="s">
        <v>162</v>
      </c>
      <c r="B17" s="236">
        <f>'HYD  ENG'!G759</f>
        <v>174804111</v>
      </c>
      <c r="C17" s="237">
        <f>'HYD  CST'!G665</f>
        <v>8434401.4900000021</v>
      </c>
      <c r="D17" s="238">
        <f t="shared" si="0"/>
        <v>48.250589998996091</v>
      </c>
      <c r="E17" s="219">
        <f>'HYD  ENG'!R759</f>
        <v>181516100</v>
      </c>
      <c r="F17" s="227">
        <f>'HYD  CST'!Q665</f>
        <v>8152986.9799999939</v>
      </c>
      <c r="G17" s="228">
        <f t="shared" si="1"/>
        <v>44.916054168197718</v>
      </c>
      <c r="H17" s="239">
        <f>'HYD  ENG'!S759</f>
        <v>105087430</v>
      </c>
      <c r="I17" s="237">
        <f>'HYD  CST'!R665</f>
        <v>4882560.1900000013</v>
      </c>
      <c r="J17" s="238">
        <f t="shared" si="2"/>
        <v>46.461885974373921</v>
      </c>
    </row>
    <row r="18" spans="1:10" x14ac:dyDescent="0.2">
      <c r="B18" s="233"/>
      <c r="C18" s="234"/>
      <c r="D18" s="235"/>
      <c r="H18" s="233"/>
      <c r="I18" s="234"/>
      <c r="J18" s="235"/>
    </row>
  </sheetData>
  <phoneticPr fontId="0" type="noConversion"/>
  <printOptions gridLines="1" gridLinesSet="0"/>
  <pageMargins left="0.75" right="0.75" top="1" bottom="1" header="0.5" footer="0.5"/>
  <pageSetup orientation="landscape" r:id="rId1"/>
  <headerFooter alignWithMargins="0">
    <oddHeader>&amp;A</oddHeader>
    <oddFooter>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6:G18"/>
  <sheetViews>
    <sheetView workbookViewId="0">
      <selection activeCell="G19" sqref="G19"/>
    </sheetView>
  </sheetViews>
  <sheetFormatPr defaultRowHeight="12.75" x14ac:dyDescent="0.2"/>
  <cols>
    <col min="7" max="7" width="9.33203125" style="261"/>
  </cols>
  <sheetData>
    <row r="6" spans="5:7" x14ac:dyDescent="0.2">
      <c r="E6" s="261">
        <f>75048+79344+116035+94127+24694</f>
        <v>389248</v>
      </c>
      <c r="G6" s="261">
        <f>9626+7821+9085+8805+8606+10207+7962+7364+5572</f>
        <v>75048</v>
      </c>
    </row>
    <row r="8" spans="5:7" x14ac:dyDescent="0.2">
      <c r="G8" s="261">
        <f>3503+3409+4594+12324+12991+12257+12119+8988+9159</f>
        <v>79344</v>
      </c>
    </row>
    <row r="10" spans="5:7" x14ac:dyDescent="0.2">
      <c r="G10" s="261">
        <f>9567+9398+9056+16371+16319+15388+16125+14404+9407</f>
        <v>116035</v>
      </c>
    </row>
    <row r="12" spans="5:7" x14ac:dyDescent="0.2">
      <c r="G12" s="261">
        <f>12335+8113+10297+16516+13873+9598+7875+8635+6886</f>
        <v>94128</v>
      </c>
    </row>
    <row r="14" spans="5:7" x14ac:dyDescent="0.2">
      <c r="G14" s="261">
        <f>7422+6574+6270+4427</f>
        <v>24693</v>
      </c>
    </row>
    <row r="16" spans="5:7" x14ac:dyDescent="0.2">
      <c r="G16" s="261">
        <f>SUM(G6:G14)</f>
        <v>389248</v>
      </c>
    </row>
    <row r="18" spans="7:7" x14ac:dyDescent="0.2">
      <c r="G18" s="261">
        <f>116900*0.917</f>
        <v>107197.3</v>
      </c>
    </row>
  </sheetData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1C2CB6B7CF22E429A21C2D8807DCE64" ma:contentTypeVersion="2" ma:contentTypeDescription="Create a new document." ma:contentTypeScope="" ma:versionID="b8b5c91a70c2d4d7d419172275826a16">
  <xsd:schema xmlns:xsd="http://www.w3.org/2001/XMLSchema" xmlns:xs="http://www.w3.org/2001/XMLSchema" xmlns:p="http://schemas.microsoft.com/office/2006/metadata/properties" xmlns:ns2="647b500e-2e54-493e-9891-abb9c0422344" targetNamespace="http://schemas.microsoft.com/office/2006/metadata/properties" ma:root="true" ma:fieldsID="bc4bcd44227087410dd02ed270b21ef1" ns2:_="">
    <xsd:import namespace="647b500e-2e54-493e-9891-abb9c0422344"/>
    <xsd:element name="properties">
      <xsd:complexType>
        <xsd:sequence>
          <xsd:element name="documentManagement">
            <xsd:complexType>
              <xsd:all>
                <xsd:element ref="ns2:ParentListItemID" minOccurs="0"/>
                <xsd:element ref="ns2:Section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7b500e-2e54-493e-9891-abb9c0422344" elementFormDefault="qualified">
    <xsd:import namespace="http://schemas.microsoft.com/office/2006/documentManagement/types"/>
    <xsd:import namespace="http://schemas.microsoft.com/office/infopath/2007/PartnerControls"/>
    <xsd:element name="ParentListItemID" ma:index="8" nillable="true" ma:displayName="ParentListItemID" ma:hidden="true" ma:internalName="ParentListItemID" ma:readOnly="false">
      <xsd:simpleType>
        <xsd:restriction base="dms:Text"/>
      </xsd:simpleType>
    </xsd:element>
    <xsd:element name="Section" ma:index="9" ma:displayName="Section" ma:default="Budget 17_18 test" ma:format="RadioButtons" ma:internalName="Section">
      <xsd:simpleType>
        <xsd:restriction base="dms:Choice">
          <xsd:enumeration value="Budget 17_18 test"/>
          <xsd:enumeration value="Budget Docs"/>
          <xsd:enumeration value="Budget Docs\GDR"/>
          <xsd:enumeration value="Budget_Notes"/>
          <xsd:enumeration value="Budgeting Reports"/>
          <xsd:enumeration value="Capacity Charge CY2017"/>
          <xsd:enumeration value="CIP"/>
          <xsd:enumeration value="Communications"/>
          <xsd:enumeration value="Extracts"/>
          <xsd:enumeration value="Feb Letter"/>
          <xsd:enumeration value="Budget Docs"/>
          <xsd:enumeration value="Budget Docs\CFO"/>
          <xsd:enumeration value="Budget Docs\ES"/>
          <xsd:enumeration value="Budget Docs\IT"/>
          <xsd:enumeration value="Budget Docs\Labor"/>
          <xsd:enumeration value="Budget Docs\OPS"/>
          <xsd:enumeration value="Budget Docs\Presentations"/>
          <xsd:enumeration value="Budget Docs\WRM"/>
          <xsd:enumeration value="Misc Budget Files"/>
          <xsd:enumeration value="Misc Forecast Files"/>
          <xsd:enumeration value="Models"/>
          <xsd:enumeration value="New Budget Document"/>
          <xsd:enumeration value="Proposed"/>
          <xsd:enumeration value="Proposed\PAB2018 - Working Files"/>
          <xsd:enumeration value="Public Hearing"/>
          <xsd:enumeration value="RTS FY 2017"/>
          <xsd:enumeration value="GDR Data"/>
          <xsd:enumeration value="GDR Data\CFO"/>
          <xsd:enumeration value="GDR Data\ES"/>
          <xsd:enumeration value="GDR Data\IT"/>
          <xsd:enumeration value="GDR Data\Labor"/>
          <xsd:enumeration value="GDR Data\OPS"/>
          <xsd:enumeration value="GDR Data\Presentations"/>
          <xsd:enumeration value="GDR Data\WRM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ction xmlns="647b500e-2e54-493e-9891-abb9c0422344">GDR Data\OPS</Section>
    <ParentListItemID xmlns="647b500e-2e54-493e-9891-abb9c0422344" xsi:nil="true"/>
  </documentManagement>
</p:properties>
</file>

<file path=customXml/itemProps1.xml><?xml version="1.0" encoding="utf-8"?>
<ds:datastoreItem xmlns:ds="http://schemas.openxmlformats.org/officeDocument/2006/customXml" ds:itemID="{358760C7-7C8F-4EC7-8303-2C288AF3C969}"/>
</file>

<file path=customXml/itemProps2.xml><?xml version="1.0" encoding="utf-8"?>
<ds:datastoreItem xmlns:ds="http://schemas.openxmlformats.org/officeDocument/2006/customXml" ds:itemID="{DD6028BE-3876-45BE-A53E-D03A2E0FDB88}"/>
</file>

<file path=customXml/itemProps3.xml><?xml version="1.0" encoding="utf-8"?>
<ds:datastoreItem xmlns:ds="http://schemas.openxmlformats.org/officeDocument/2006/customXml" ds:itemID="{F209C684-55E5-40B1-B76B-9C6E1234C1C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3</vt:i4>
      </vt:variant>
    </vt:vector>
  </HeadingPairs>
  <TitlesOfParts>
    <vt:vector size="20" baseType="lpstr">
      <vt:lpstr>HYD  CST</vt:lpstr>
      <vt:lpstr>HYD  ENG</vt:lpstr>
      <vt:lpstr>Kwh Running FYTD </vt:lpstr>
      <vt:lpstr>$ Running FYTD </vt:lpstr>
      <vt:lpstr>FY Gen &amp; Rev.</vt:lpstr>
      <vt:lpstr>Sheet5</vt:lpstr>
      <vt:lpstr>Sheet6</vt:lpstr>
      <vt:lpstr>Sheet7</vt:lpstr>
      <vt:lpstr>Sheet8</vt:lpstr>
      <vt:lpstr>Sheet9</vt:lpstr>
      <vt:lpstr>Sheet10</vt:lpstr>
      <vt:lpstr>Sheet11</vt:lpstr>
      <vt:lpstr>Sheet12</vt:lpstr>
      <vt:lpstr>Sheet13</vt:lpstr>
      <vt:lpstr>Sheet14</vt:lpstr>
      <vt:lpstr>Sheet15</vt:lpstr>
      <vt:lpstr>Sheet16</vt:lpstr>
      <vt:lpstr>'FY Gen &amp; Rev.'!Print_Area</vt:lpstr>
      <vt:lpstr>'HYD  CST'!Print_Area</vt:lpstr>
      <vt:lpstr>'HYD  ENG'!Print_Area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HYD$ENG</dc:title>
  <dc:creator>wpbohus</dc:creator>
  <cp:lastModifiedBy>u05514</cp:lastModifiedBy>
  <cp:lastPrinted>2015-10-27T17:48:47Z</cp:lastPrinted>
  <dcterms:created xsi:type="dcterms:W3CDTF">2001-04-11T21:57:15Z</dcterms:created>
  <dcterms:modified xsi:type="dcterms:W3CDTF">2015-11-04T23:33:46Z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0x01010071C2CB6B7CF22E429A21C2D8807DCE64</vt:lpwstr>
  </property>
</Properties>
</file>